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V:\Portal de Transparencia\Atualizações 06-2026\Demonstrativo Integral de Receitas e Despesas\"/>
    </mc:Choice>
  </mc:AlternateContent>
  <bookViews>
    <workbookView xWindow="0" yWindow="0" windowWidth="20490" windowHeight="6630" tabRatio="956" activeTab="2"/>
  </bookViews>
  <sheets>
    <sheet name="Anexo 17 - ESTADUAL" sheetId="3" r:id="rId1"/>
    <sheet name="Anexo 17 - FEDERAL" sheetId="4" r:id="rId2"/>
    <sheet name="Anexo 17 - PRÓPRIO" sheetId="8" r:id="rId3"/>
  </sheets>
  <definedNames>
    <definedName name="_xlnm.Print_Area" localSheetId="0">'Anexo 17 - ESTADUAL'!$A$1:$F$155</definedName>
    <definedName name="_xlnm.Print_Area" localSheetId="1">'Anexo 17 - FEDERAL'!$A$1:$F$187</definedName>
    <definedName name="_xlnm.Print_Area" localSheetId="2">'Anexo 17 - PRÓPRIO'!$A$1:$F$143</definedName>
    <definedName name="AVCB">#REF!</definedName>
    <definedName name="avcb2">SUM(#REF!)</definedName>
    <definedName name="codigo" localSheetId="2">#REF!</definedName>
    <definedName name="codigo">#REF!</definedName>
    <definedName name="conta" localSheetId="2">#REF!</definedName>
    <definedName name="conta">#REF!</definedName>
    <definedName name="conta2" localSheetId="2">#REF!</definedName>
    <definedName name="conta2">#REF!</definedName>
    <definedName name="dfg" localSheetId="2">SUM(#REF!)</definedName>
    <definedName name="dfg">SUM(#REF!)</definedName>
    <definedName name="fluxocaixa" localSheetId="2">#REF!</definedName>
    <definedName name="fluxocaixa">#REF!</definedName>
    <definedName name="TotalDespesasMensais" localSheetId="2">SUM(#REF!)</definedName>
    <definedName name="TotalDespesasMensais">SUM(#REF!)</definedName>
    <definedName name="Totalmensal" localSheetId="2">SUM(#REF!)</definedName>
    <definedName name="Totalmensal">SUM(#REF!)</definedName>
    <definedName name="TotalRendaMensal" localSheetId="2">SUM(#REF!)</definedName>
    <definedName name="TotalRendaMensal">SUM(#REF!)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0" i="8" l="1"/>
  <c r="D95" i="3" l="1"/>
  <c r="G130" i="3" l="1"/>
  <c r="E52" i="3"/>
  <c r="E53" i="3"/>
  <c r="E50" i="3"/>
  <c r="F78" i="8" l="1"/>
  <c r="F74" i="8"/>
  <c r="F73" i="8"/>
  <c r="F121" i="4"/>
  <c r="F120" i="4"/>
  <c r="F124" i="4"/>
  <c r="F118" i="4"/>
  <c r="F80" i="8" l="1"/>
  <c r="F77" i="8"/>
  <c r="F76" i="8"/>
  <c r="F75" i="8"/>
  <c r="F122" i="4"/>
  <c r="F117" i="4"/>
  <c r="G83" i="4" l="1"/>
  <c r="G84" i="4" l="1"/>
  <c r="G52" i="3" l="1"/>
  <c r="H52" i="3" s="1"/>
  <c r="E84" i="4"/>
  <c r="H84" i="4" s="1"/>
  <c r="F86" i="8" l="1"/>
  <c r="F83" i="8"/>
  <c r="F81" i="8"/>
  <c r="F71" i="8"/>
  <c r="F83" i="3"/>
  <c r="D86" i="8" l="1"/>
  <c r="D85" i="8"/>
  <c r="D83" i="8"/>
  <c r="D82" i="8"/>
  <c r="D81" i="8"/>
  <c r="D80" i="8"/>
  <c r="D79" i="8"/>
  <c r="D78" i="8"/>
  <c r="D77" i="8"/>
  <c r="D76" i="8"/>
  <c r="D75" i="8"/>
  <c r="D74" i="8"/>
  <c r="D73" i="8"/>
  <c r="D71" i="8"/>
  <c r="E33" i="8"/>
  <c r="E32" i="8"/>
  <c r="E31" i="8"/>
  <c r="D97" i="3"/>
  <c r="D93" i="3"/>
  <c r="D90" i="3"/>
  <c r="D88" i="3"/>
  <c r="D86" i="3"/>
  <c r="D85" i="3"/>
  <c r="D83" i="3"/>
  <c r="E48" i="3"/>
  <c r="D129" i="4"/>
  <c r="D124" i="4"/>
  <c r="D122" i="4"/>
  <c r="D121" i="4"/>
  <c r="D120" i="4"/>
  <c r="D118" i="4"/>
  <c r="D117" i="4"/>
  <c r="E80" i="4"/>
  <c r="B80" i="4"/>
  <c r="E74" i="4" l="1"/>
  <c r="B74" i="4"/>
  <c r="E46" i="3" l="1"/>
  <c r="E85" i="4"/>
  <c r="E70" i="4"/>
  <c r="E66" i="4" l="1"/>
  <c r="E62" i="4" l="1"/>
  <c r="E58" i="4" l="1"/>
  <c r="E53" i="4" l="1"/>
  <c r="G27" i="4"/>
  <c r="C76" i="8" l="1"/>
  <c r="E50" i="4"/>
  <c r="C74" i="8" l="1"/>
  <c r="C121" i="4"/>
  <c r="D98" i="3" l="1"/>
  <c r="D125" i="4"/>
  <c r="E44" i="4"/>
  <c r="C73" i="8" l="1"/>
  <c r="C118" i="4" l="1"/>
  <c r="C117" i="4"/>
  <c r="E38" i="4"/>
  <c r="C80" i="8" l="1"/>
  <c r="C78" i="8"/>
  <c r="C77" i="8"/>
  <c r="C75" i="8"/>
  <c r="C71" i="8"/>
  <c r="E37" i="3"/>
  <c r="C124" i="4"/>
  <c r="C122" i="4"/>
  <c r="E34" i="4"/>
  <c r="B34" i="4"/>
  <c r="G87" i="8" l="1"/>
  <c r="H72" i="8" l="1"/>
  <c r="H73" i="8"/>
  <c r="H74" i="8"/>
  <c r="H75" i="8"/>
  <c r="H76" i="8"/>
  <c r="H77" i="8"/>
  <c r="H78" i="8"/>
  <c r="H79" i="8"/>
  <c r="H80" i="8"/>
  <c r="H81" i="8"/>
  <c r="H82" i="8"/>
  <c r="H83" i="8"/>
  <c r="H84" i="8"/>
  <c r="H85" i="8"/>
  <c r="H86" i="8"/>
  <c r="H71" i="8"/>
  <c r="C83" i="8"/>
  <c r="C81" i="8"/>
  <c r="C79" i="8"/>
  <c r="C83" i="3" l="1"/>
  <c r="H83" i="3" s="1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E36" i="3" l="1"/>
  <c r="E51" i="3" s="1"/>
  <c r="G28" i="3"/>
  <c r="H122" i="4"/>
  <c r="C120" i="4"/>
  <c r="H120" i="4" s="1"/>
  <c r="E31" i="4"/>
  <c r="E83" i="4" s="1"/>
  <c r="H87" i="4" s="1"/>
  <c r="G131" i="4"/>
  <c r="H116" i="4"/>
  <c r="H117" i="4"/>
  <c r="H118" i="4"/>
  <c r="H119" i="4"/>
  <c r="H121" i="4"/>
  <c r="H123" i="4"/>
  <c r="H124" i="4"/>
  <c r="H125" i="4"/>
  <c r="H126" i="4"/>
  <c r="H127" i="4"/>
  <c r="H128" i="4"/>
  <c r="H129" i="4"/>
  <c r="H130" i="4"/>
  <c r="H115" i="4"/>
  <c r="D87" i="8" l="1"/>
  <c r="E86" i="4" l="1"/>
  <c r="B115" i="4" l="1"/>
  <c r="E115" i="4"/>
  <c r="B116" i="4"/>
  <c r="E116" i="4"/>
  <c r="B117" i="4"/>
  <c r="E117" i="4"/>
  <c r="B118" i="4"/>
  <c r="E118" i="4"/>
  <c r="E119" i="4"/>
  <c r="B120" i="4"/>
  <c r="E120" i="4"/>
  <c r="B121" i="4"/>
  <c r="E121" i="4"/>
  <c r="B122" i="4"/>
  <c r="E122" i="4"/>
  <c r="B123" i="4"/>
  <c r="E123" i="4"/>
  <c r="B124" i="4"/>
  <c r="E124" i="4"/>
  <c r="B125" i="4"/>
  <c r="E125" i="4"/>
  <c r="B126" i="4"/>
  <c r="E126" i="4"/>
  <c r="B127" i="4"/>
  <c r="E127" i="4"/>
  <c r="B128" i="4"/>
  <c r="E128" i="4"/>
  <c r="E129" i="4"/>
  <c r="B130" i="4"/>
  <c r="E130" i="4"/>
  <c r="B129" i="4" l="1"/>
  <c r="B119" i="4"/>
  <c r="E71" i="8" l="1"/>
  <c r="D131" i="4" l="1"/>
  <c r="E34" i="8"/>
  <c r="C87" i="8" l="1"/>
  <c r="H87" i="8" s="1"/>
  <c r="E54" i="3" l="1"/>
  <c r="F87" i="8" l="1"/>
  <c r="E86" i="8"/>
  <c r="B86" i="8"/>
  <c r="E85" i="8"/>
  <c r="B85" i="8"/>
  <c r="E84" i="8"/>
  <c r="B84" i="8"/>
  <c r="E83" i="8"/>
  <c r="B83" i="8"/>
  <c r="E82" i="8"/>
  <c r="B82" i="8"/>
  <c r="E81" i="8"/>
  <c r="B81" i="8"/>
  <c r="E80" i="8"/>
  <c r="B80" i="8"/>
  <c r="E79" i="8"/>
  <c r="B79" i="8"/>
  <c r="E78" i="8"/>
  <c r="B78" i="8"/>
  <c r="E77" i="8"/>
  <c r="B77" i="8"/>
  <c r="E76" i="8"/>
  <c r="B76" i="8"/>
  <c r="E75" i="8"/>
  <c r="B75" i="8"/>
  <c r="E74" i="8"/>
  <c r="B74" i="8"/>
  <c r="E73" i="8"/>
  <c r="B73" i="8"/>
  <c r="E72" i="8"/>
  <c r="B72" i="8"/>
  <c r="B71" i="8"/>
  <c r="E37" i="8"/>
  <c r="E114" i="8" s="1"/>
  <c r="E87" i="8" l="1"/>
  <c r="E115" i="8"/>
  <c r="B87" i="8"/>
  <c r="E116" i="8" l="1"/>
  <c r="E118" i="8" s="1"/>
  <c r="G119" i="8" s="1"/>
  <c r="F131" i="4" l="1"/>
  <c r="C131" i="4"/>
  <c r="H131" i="4" s="1"/>
  <c r="F99" i="3"/>
  <c r="D99" i="3"/>
  <c r="C99" i="3"/>
  <c r="H99" i="3" s="1"/>
  <c r="E98" i="3"/>
  <c r="B98" i="3"/>
  <c r="E97" i="3"/>
  <c r="B97" i="3"/>
  <c r="E96" i="3"/>
  <c r="B96" i="3"/>
  <c r="E95" i="3"/>
  <c r="B95" i="3"/>
  <c r="E94" i="3"/>
  <c r="B94" i="3"/>
  <c r="E93" i="3"/>
  <c r="B93" i="3"/>
  <c r="E92" i="3"/>
  <c r="B92" i="3"/>
  <c r="E91" i="3"/>
  <c r="B91" i="3"/>
  <c r="E90" i="3"/>
  <c r="B90" i="3"/>
  <c r="E89" i="3"/>
  <c r="B89" i="3"/>
  <c r="E88" i="3"/>
  <c r="B88" i="3"/>
  <c r="E87" i="3"/>
  <c r="B87" i="3"/>
  <c r="E86" i="3"/>
  <c r="B86" i="3"/>
  <c r="E85" i="3"/>
  <c r="B85" i="3"/>
  <c r="E84" i="3"/>
  <c r="B84" i="3"/>
  <c r="E83" i="3"/>
  <c r="B83" i="3"/>
  <c r="E99" i="3" l="1"/>
  <c r="E127" i="3"/>
  <c r="E128" i="3" s="1"/>
  <c r="E130" i="3" s="1"/>
  <c r="G131" i="3" s="1"/>
  <c r="E89" i="4"/>
  <c r="E158" i="4" s="1"/>
  <c r="B99" i="3"/>
  <c r="E131" i="4"/>
  <c r="B131" i="4"/>
  <c r="E57" i="3"/>
  <c r="E126" i="3" s="1"/>
  <c r="E159" i="4"/>
  <c r="E160" i="4" s="1"/>
  <c r="E162" i="4" s="1"/>
  <c r="G163" i="4" s="1"/>
  <c r="H83" i="4" l="1"/>
</calcChain>
</file>

<file path=xl/sharedStrings.xml><?xml version="1.0" encoding="utf-8"?>
<sst xmlns="http://schemas.openxmlformats.org/spreadsheetml/2006/main" count="433" uniqueCount="200">
  <si>
    <t>TOTAL</t>
  </si>
  <si>
    <t>INTEGRAL DAS RECEITAS E DESPESAS - TERMO DE CONVÊNIO</t>
  </si>
  <si>
    <t>DOCUMENTO</t>
  </si>
  <si>
    <t>DATA</t>
  </si>
  <si>
    <t>VIGÊNCIA</t>
  </si>
  <si>
    <t>VALOR - R$</t>
  </si>
  <si>
    <t>DEMONSTRATIVO DOS RECURSOS DISPONÍVEIS NO EXERCÍCIO</t>
  </si>
  <si>
    <t>VALORES PREVISTOS (R$)</t>
  </si>
  <si>
    <t>DATA DO REPASSE</t>
  </si>
  <si>
    <t>NÚMERO DO DOCUMENTO DE CRÉDITO</t>
  </si>
  <si>
    <t>VALORES REPASSADOS (R$)</t>
  </si>
  <si>
    <t>(C) RECEITAS COM APLICAÇÕES FINANCEIRAS DOS REPASSES PÚBLICOS</t>
  </si>
  <si>
    <t>(D) OUTRAS RECEITAS DECORRENTES DA EXECUÇÃO DO AJUSTE (3)</t>
  </si>
  <si>
    <t>(E) TOTAL DE RECURSOS PÚBLICOS (A + B+ C + D)</t>
  </si>
  <si>
    <t>(F) RECURSOS PRÓPRIOS DA ENTIDADE BENEFICIÁRIA</t>
  </si>
  <si>
    <t>(G) TOTAL DE RECURSOS DISPONIVEIS NO EXERCICIO (E + F)</t>
  </si>
  <si>
    <t>(1) Verba: Federal, Estadual ou Municipal, devendo ser elaborado um anexo para cada fonte de recurso.</t>
  </si>
  <si>
    <t>(2) Incluir valores previstos no exercício anterior a repassados neste exercício.</t>
  </si>
  <si>
    <t>DEMONSTRATIVO DAS DESPESAS INCORRIDAS NO EXERCÍCIO</t>
  </si>
  <si>
    <t>DESPESAS</t>
  </si>
  <si>
    <t>TOTAL DE</t>
  </si>
  <si>
    <t>CATEGORIA OU</t>
  </si>
  <si>
    <t>CONTABILIZADAS</t>
  </si>
  <si>
    <t>FINALIDADE DA</t>
  </si>
  <si>
    <t>EM EXERCÍCIOS</t>
  </si>
  <si>
    <t>NESTE EXERCÍCIO</t>
  </si>
  <si>
    <t>PAGAS</t>
  </si>
  <si>
    <t>NESTE EXERCÍCIO A</t>
  </si>
  <si>
    <t>DESPESA(8)</t>
  </si>
  <si>
    <t>NESTE</t>
  </si>
  <si>
    <t>ANTERIORES E</t>
  </si>
  <si>
    <t>E PAGAS NESTE</t>
  </si>
  <si>
    <t>PAGAR EM</t>
  </si>
  <si>
    <t>EXERCÍCIO (R$)</t>
  </si>
  <si>
    <t>PAGAS NESTE</t>
  </si>
  <si>
    <t>EXERCÍCIO</t>
  </si>
  <si>
    <t>EXERCÍCIOS</t>
  </si>
  <si>
    <t>(I)</t>
  </si>
  <si>
    <t>(R$)</t>
  </si>
  <si>
    <t>SEGUINTES (R$)</t>
  </si>
  <si>
    <t xml:space="preserve">(H) </t>
  </si>
  <si>
    <t>(J=H+I)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</si>
  <si>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</si>
  <si>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</si>
  <si>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</si>
  <si>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</si>
  <si>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</si>
  <si>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</si>
  <si>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Servicos médicos (*)</t>
  </si>
  <si>
    <t>Outros serviços de terceiros</t>
  </si>
  <si>
    <t>Locações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</si>
  <si>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</si>
  <si>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</si>
  <si>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</si>
  <si>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</si>
  <si>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</si>
  <si>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</si>
  <si>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</si>
  <si>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</si>
  <si>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</si>
  <si>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</si>
  <si>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eléltrica, água e esgoto, gás, telefone e internet.</t>
  </si>
  <si>
    <t>(8) No rol exemplificativo incluir também as aquisições e os compromissos assumidos que não são classificados contabilmente como DESPESAS, como,</t>
  </si>
  <si>
    <t>por exemplo, aquisição de bens permanentes.</t>
  </si>
  <si>
    <t>(9) Quando a diferença entre a Coluna DESPESAS CONTABILIZADAS NESTE EXERCICIO e a Coluna DESPESAS CONTABILIZADAS NESTE EXERCICIO</t>
  </si>
  <si>
    <t xml:space="preserve">E PAGAS NESTE EXERCÍCIO for decorrente de descontos obtidos ou pagamento de multa por atraso, o resultado não deve aparecer na coluna DESPESAS </t>
  </si>
  <si>
    <t>CONTABILIZADAS NESTE EXERCÍCIO A PAGAR EM EXERCÍCIOS SEGUINTES, uma vez que tais descontos ou multas são contabilizados em contas de</t>
  </si>
  <si>
    <t>receitas ou despesas. Assim sendo deverá ser indicado como nota de rodapé os valores e as respectivas contas de receitas e despesas.</t>
  </si>
  <si>
    <t>(*) Apenas para entidades da área da Saúde.</t>
  </si>
  <si>
    <t>DEMONSTRATIVO DO SALDO FINANCEIRO DO EXERCÍCIO</t>
  </si>
  <si>
    <t>(G) TOTAL DE RECURSOS DISPONÍVEL NO EXERCÍCIO</t>
  </si>
  <si>
    <t>(J) DESPESAS PAGAS NO EXERCÍCIO (H+I)</t>
  </si>
  <si>
    <t>(K) RECURSO PÚBLICO NAO APLICADO [E-(J-F)]</t>
  </si>
  <si>
    <t>(L) VALOR DEVOLVIDO AO ÓRGÃO PÚBLICO</t>
  </si>
  <si>
    <t>(M) VALOR AUTORIZADO PARA APLICAÇÃO NO EXERCÍCIO SEGUINTE (K-L)</t>
  </si>
  <si>
    <t>Declaro(amos), na qualidade de responsável(is) pela entidade supra epigrafada, sob as penas da Lei, que as despesas relacionadas comprovam a exata aplicação dos recursos recebidos para os fins indicados, conforme programa de trabalho aprovado, proposto ao Órgão Público Convenente.</t>
  </si>
  <si>
    <t>Irene Rodrigues Damasceno de Oliveira</t>
  </si>
  <si>
    <t xml:space="preserve">                          Contadora</t>
  </si>
  <si>
    <t xml:space="preserve">ANEXO RP-12 - REPASSES AO TERCEIRO SETOR - DEMONSTRATIVO  </t>
  </si>
  <si>
    <t>-</t>
  </si>
  <si>
    <t>(F) RECURSOS PROPRIOS DA ENTIDADE BENEFICIÁRIA (3)</t>
  </si>
  <si>
    <t>(K) RECURSO PRIVADA NAO APLICADO [E-(J-F)]</t>
  </si>
  <si>
    <t>DATA PREVISTA PARA O REPASSE (2)</t>
  </si>
  <si>
    <t>(A) SALDO DO EXERCÍCIO ANTERIOR</t>
  </si>
  <si>
    <t>(B) REPASSES PÚBLICOS NO EXERCÍCIO</t>
  </si>
  <si>
    <t>(3) Receitas com estacionamento, aluguéis, entre outras.</t>
  </si>
  <si>
    <r>
      <t xml:space="preserve">ÓRGÃO PÚBLICO CONVENENTE: </t>
    </r>
    <r>
      <rPr>
        <sz val="20"/>
        <color indexed="8"/>
        <rFont val="Arial"/>
        <family val="2"/>
      </rPr>
      <t>SECRETARIA DE ESTADO DA SAÚDE</t>
    </r>
  </si>
  <si>
    <r>
      <t xml:space="preserve">CONVENIADA: </t>
    </r>
    <r>
      <rPr>
        <sz val="20"/>
        <color indexed="8"/>
        <rFont val="Arial"/>
        <family val="2"/>
      </rPr>
      <t>SOCIEDADE BENEFICENTE SÃO CAMILO - HOSPITAL REGIONAL DO VALE DO PARAÍBA</t>
    </r>
  </si>
  <si>
    <r>
      <t xml:space="preserve">CNPJ: </t>
    </r>
    <r>
      <rPr>
        <sz val="20"/>
        <color indexed="8"/>
        <rFont val="Arial"/>
        <family val="2"/>
      </rPr>
      <t>60.975.737/0072-45</t>
    </r>
  </si>
  <si>
    <r>
      <t xml:space="preserve">ENDEREÇO e CEP: </t>
    </r>
    <r>
      <rPr>
        <sz val="20"/>
        <color indexed="8"/>
        <rFont val="Arial"/>
        <family val="2"/>
      </rPr>
      <t>AV. TIRADENTES, 280 - CENTRO - CEP 12.030-180 - TAUBATÉ</t>
    </r>
  </si>
  <si>
    <r>
      <t>RESPONSÁVEL(IS) PELA CONVENIADA:</t>
    </r>
    <r>
      <rPr>
        <sz val="20"/>
        <color indexed="8"/>
        <rFont val="Arial"/>
        <family val="2"/>
      </rPr>
      <t xml:space="preserve"> MATEUS LOCATELLI</t>
    </r>
  </si>
  <si>
    <r>
      <t xml:space="preserve">ORIGEM DOS RECURSOS (1): </t>
    </r>
    <r>
      <rPr>
        <sz val="20"/>
        <color indexed="8"/>
        <rFont val="Arial"/>
        <family val="2"/>
      </rPr>
      <t>FEDERAL (FUNDES)</t>
    </r>
  </si>
  <si>
    <r>
      <t xml:space="preserve">ORIGEM DOS RECURSOS (4): </t>
    </r>
    <r>
      <rPr>
        <sz val="20"/>
        <color indexed="8"/>
        <rFont val="Arial"/>
        <family val="2"/>
      </rPr>
      <t>FEDERAL (FUNDES)</t>
    </r>
  </si>
  <si>
    <t>ANEXO RP-12 - REPASSES AO TERCEIRO SETOR - DEMONSTRATIVO</t>
  </si>
  <si>
    <r>
      <t xml:space="preserve">ORIGEM DOS RECURSOS (4): </t>
    </r>
    <r>
      <rPr>
        <sz val="20"/>
        <color indexed="8"/>
        <rFont val="Arial"/>
        <family val="2"/>
      </rPr>
      <t xml:space="preserve">ESTADUAL - CUSTEIO </t>
    </r>
  </si>
  <si>
    <r>
      <t xml:space="preserve">ORIGEM DOS RECURSOS: </t>
    </r>
    <r>
      <rPr>
        <sz val="20"/>
        <color indexed="8"/>
        <rFont val="Arial"/>
        <family val="2"/>
      </rPr>
      <t>PRÓPRIO</t>
    </r>
  </si>
  <si>
    <r>
      <t xml:space="preserve">ORIGEM DOS RECURSOS (4): </t>
    </r>
    <r>
      <rPr>
        <sz val="20"/>
        <color indexed="8"/>
        <rFont val="Arial"/>
        <family val="2"/>
      </rPr>
      <t>PRÓPRIO</t>
    </r>
  </si>
  <si>
    <t>Termo de Aditamento n° 06/2022 - Repasse de recursos financeiros de Investimentos, estabelecido pela Emenda Parlamentar (Deputado Sergio Victor - código: 2022.088.36894) para o HOSPITAL REGIONAL DO VALE DO PARAÍBA.</t>
  </si>
  <si>
    <t>Termo de Aditamento n° 07/2022 - Repasse de recursos financeiros de Investimento para execução de adequações estruturais para obtenção de Auto de Vistoria do Corpo de Bombeiros (AVCB) do HOSPITAL REGIONAL DO VALE DO PARAÍBA.</t>
  </si>
  <si>
    <t>SALDO DE 2024</t>
  </si>
  <si>
    <t>2025OB00794</t>
  </si>
  <si>
    <t>2025OB03815</t>
  </si>
  <si>
    <t>2025OB03639</t>
  </si>
  <si>
    <t>Termo de Aditamento 01/2025: Recursos de Custeio para complementação da realização das atividades assistenciais conveniadas e despesas delas decorrentes, repassados pela CONVENENTE, no período de janeiro a junho de 2025, no valor de R$ 46.042.428,00 (quarenta e seis milhões, quarenta e dois mil e quatrocentos e vinte e oito reais).</t>
  </si>
  <si>
    <t>01/2025</t>
  </si>
  <si>
    <t>2025OB02383</t>
  </si>
  <si>
    <t>07/01/2025</t>
  </si>
  <si>
    <t>2025OB02318</t>
  </si>
  <si>
    <t>2025OB00708</t>
  </si>
  <si>
    <r>
      <t xml:space="preserve">Termo de Aditamento nº 05/2024: Repasse de recurso financeiro de custeio Federal estabelecido pela Portaria 2.624/2020 – RENAVEH e Repasse de recurso financeiro de investimento estabelecido pela Emenda Estadual (2023.277.55615) - </t>
    </r>
    <r>
      <rPr>
        <b/>
        <sz val="20"/>
        <color rgb="FFFF0000"/>
        <rFont val="Arial"/>
        <family val="2"/>
      </rPr>
      <t>(emenda devolvida)</t>
    </r>
  </si>
  <si>
    <t>(G) TOTAL DE RECURSOS DISPONIVEIS NO EXERCÍCIO (E + F)</t>
  </si>
  <si>
    <t>2025OB06459</t>
  </si>
  <si>
    <t>2025OB06427</t>
  </si>
  <si>
    <t>2025OB08660</t>
  </si>
  <si>
    <t>2025OB08481</t>
  </si>
  <si>
    <t>02/2025</t>
  </si>
  <si>
    <t>2025OB11505</t>
  </si>
  <si>
    <t>2025OB09085</t>
  </si>
  <si>
    <t>2025OB09046</t>
  </si>
  <si>
    <t>2025OB10807</t>
  </si>
  <si>
    <t>2025OB10845</t>
  </si>
  <si>
    <t>2025OB10764</t>
  </si>
  <si>
    <t>2025OB10588</t>
  </si>
  <si>
    <t>03/2025</t>
  </si>
  <si>
    <t>2025OB19116</t>
  </si>
  <si>
    <t>Resolução SS nº. 65, de 10 de abril de 2025: Dispõe sobre repasse de recursos financeiros MAC, destinados aos Estabelecimentos Conveniados, em conformidade com o estabelecido pela Portaria GM/MS nº 6.465, de 31 de dezembro de 2024 e Portaria GM/MS nº 6609, de 12/02/2025.</t>
  </si>
  <si>
    <t>2025OB11095</t>
  </si>
  <si>
    <t>2025OB12006</t>
  </si>
  <si>
    <t>2025OB12191</t>
  </si>
  <si>
    <t>2025OB13049</t>
  </si>
  <si>
    <t>2025OB12887</t>
  </si>
  <si>
    <t>2025OB13145</t>
  </si>
  <si>
    <t>04/2025</t>
  </si>
  <si>
    <t>2025OB13360</t>
  </si>
  <si>
    <t>2025OB15745</t>
  </si>
  <si>
    <t>2025OB15568</t>
  </si>
  <si>
    <t>05/2025</t>
  </si>
  <si>
    <t>2025OB43288</t>
  </si>
  <si>
    <t>Resolução SS Nº 120, DE 26 DE JUNHO DE 2025: Dispõe sobre repasse de recursos financeiros MAC, em parcela única, destinados aos Estabelecimentos Conveniados, em conformidade com o estabelecido pela Portaria GM/MS nº 6.464, de 30 de dezembro de 2024.</t>
  </si>
  <si>
    <t>2025OB17459</t>
  </si>
  <si>
    <t>2025OB17499</t>
  </si>
  <si>
    <t>2025OB20627</t>
  </si>
  <si>
    <t>2025OB20804</t>
  </si>
  <si>
    <t>2025OB21216</t>
  </si>
  <si>
    <t>Taubaté-SP, 31/12/2025</t>
  </si>
  <si>
    <t>06/2025</t>
  </si>
  <si>
    <t>2025OB56776</t>
  </si>
  <si>
    <r>
      <t xml:space="preserve">EXERCÍCIO: </t>
    </r>
    <r>
      <rPr>
        <sz val="20"/>
        <color indexed="8"/>
        <rFont val="Arial"/>
        <family val="2"/>
      </rPr>
      <t>JANEIRO A DEZEMBRO/2025</t>
    </r>
  </si>
  <si>
    <t>2025OB21859</t>
  </si>
  <si>
    <t>2025OB21907</t>
  </si>
  <si>
    <t>2025OB25413</t>
  </si>
  <si>
    <t>2025OB25581</t>
  </si>
  <si>
    <t>07/2025</t>
  </si>
  <si>
    <t>2025OB80045</t>
  </si>
  <si>
    <t xml:space="preserve">Termo de Aditamento nº 02/2025 (prorrogação): Recursos financeiros provenientes do Fundo Nacional de Saúde/Ministério da Saúde. Os pagamentos serão efetuados conformea produção aprovada pelo Ministério da Saúde, nos sistemas SIA E SUS, até o limite dos valores de MC SIA, AC SIA, MC SIH e AC SIH, apresentados no quadro abaixo (conforme estabelecido na Resolução SS nº 198/2023). Os pagamentos do FAEC também são valores estimados e pagos conforme a produção aprovada pelo Ministério da Saúde. </t>
  </si>
  <si>
    <t>Termo de Aditamento nº 02/2025 (prorrogação):  Recursos de Custeio para complementação da realização das atividadades assistenciais conveniadas e despesas delas decorrentes, repassadas pela CONVENENTE, no período de julho de 2025 a junho de 2026, no valor total de R$ 92.084.856,00 (noventa e dois milhões, oitenta e quatro mil, oitocentos e cinquenta e seis reais).</t>
  </si>
  <si>
    <t>2025OB26803</t>
  </si>
  <si>
    <t>2025OB27334</t>
  </si>
  <si>
    <t>2025OB29149</t>
  </si>
  <si>
    <t>2025OB28974</t>
  </si>
  <si>
    <t>08/2025</t>
  </si>
  <si>
    <t>2025OB81783</t>
  </si>
  <si>
    <t xml:space="preserve">Termo de Aditamento nº 03/2025: o presente Termo de Aditamento ao Convênio que tem por escopo o gerenciamento do Hospital Regional do Vale do Paraíba, visando o repasse financeiro de investimento estabelecido pela Emenda Parlamentar Estadual nº 2024.277.69480, proveniente do Deputado Leonardo Siqueira. </t>
  </si>
  <si>
    <t>01/08/2025</t>
  </si>
  <si>
    <t>2025OB30297</t>
  </si>
  <si>
    <t>2025OB30252</t>
  </si>
  <si>
    <t>2025OB32966</t>
  </si>
  <si>
    <t>2025OB32804</t>
  </si>
  <si>
    <t>09/2025</t>
  </si>
  <si>
    <t>2025OB94471</t>
  </si>
  <si>
    <t xml:space="preserve">Termo de Aditamento nº 01/2025: Recursos financeiros provenientes do Fundo Nacional de Saúde/Ministério da Saúde. Os pagamentos serão efetuados conforme a produção aprovada pelo Ministério da Saúde, nos sistemas SIA E SUS, até o limite dos valores de MC SIA, AC SIA, MC SIH e AC SIH, apresentados no quadro abaixo (conforme estabelecido na Resolução SS nº 198/2023). Os pagamentos do FAEC também são valores estimados e pagos conforme a produção aprovada pelo Ministério da Saúde. </t>
  </si>
  <si>
    <t>2025OB33382</t>
  </si>
  <si>
    <t>2025OB33423</t>
  </si>
  <si>
    <t>2025OB35305</t>
  </si>
  <si>
    <t>2025OB35479</t>
  </si>
  <si>
    <t>10/2025</t>
  </si>
  <si>
    <t>2025OBA7198</t>
  </si>
  <si>
    <t>2025OB37274</t>
  </si>
  <si>
    <t>2025OB37376</t>
  </si>
  <si>
    <t>2025OB37499</t>
  </si>
  <si>
    <t>2025OB37214</t>
  </si>
  <si>
    <t>2025OB35793</t>
  </si>
  <si>
    <t>2025ON35823</t>
  </si>
  <si>
    <t>11/2025</t>
  </si>
  <si>
    <t>2025OBC4548</t>
  </si>
  <si>
    <t>2025OB43128</t>
  </si>
  <si>
    <t>2025OB43300</t>
  </si>
  <si>
    <t>12/2025</t>
  </si>
  <si>
    <t>2025OBD7433</t>
  </si>
  <si>
    <t>30/12/2025</t>
  </si>
  <si>
    <t>2025OBE8985</t>
  </si>
  <si>
    <t xml:space="preserve">               Diretor Financeiro</t>
  </si>
  <si>
    <t xml:space="preserve">   Adm. Nilton Cesar dos Santos</t>
  </si>
  <si>
    <t xml:space="preserve"> Adm. Jorge Luiz Alves</t>
  </si>
  <si>
    <t xml:space="preserve">  Diretor Administrativo</t>
  </si>
  <si>
    <r>
      <t xml:space="preserve">ORIGEM DOS RECURSOS (1): </t>
    </r>
    <r>
      <rPr>
        <sz val="20"/>
        <color indexed="8"/>
        <rFont val="Arial"/>
        <family val="2"/>
      </rPr>
      <t>ESTADUAL - CUSTEIO/INVESTIMENTO</t>
    </r>
  </si>
  <si>
    <r>
      <t xml:space="preserve">OBJETO: </t>
    </r>
    <r>
      <rPr>
        <sz val="20"/>
        <color indexed="8"/>
        <rFont val="Arial"/>
        <family val="2"/>
      </rPr>
      <t>ESTABELECER A SISTEMÁTICA DE PAGAMENTO, ACOMPANHAMENTO, AVALIAÇÃO E CONTROLE; INCLUSÃO DE INDICADORES DE QUALIDADE E VALOR DO REPASSE DE RECURSOS FINANCEIROS PROVENIENTES DO FUNDO NACIONAL DE SAÚDE/MINISTÉRIO DA SAÚDE E RECURSOS FINANCEIROS DE CUSTEIO PROVENIENTES DO FUNDO ESTADUAL DE SAÚDE, NO EXERCÍCIO DE 2025, PARA O HOSPITAL REGIONAL DO VALE DO PARAÍBA.</t>
    </r>
  </si>
  <si>
    <t>O (s) signatário(s), na qualidade de representante(s) da Sociedade Beneficente São Camilo vem indicar, na forma abaixo detalhada, as despesas incorridas e pagas nos exercícios 2025 bem como as despesas a pagar no exercício seguinte.</t>
  </si>
  <si>
    <t>Termo de Aditamento nº 04/2025: o presente Termo de Aditamento ao Convênio que tem por escopo o gerenciamento do Hospital Regional do Vale do Paraíba, visando o repasse financeiro de investimento estabelecido pela Emenda Parlamentar Estadual nº 2025.286.64653.</t>
  </si>
  <si>
    <t xml:space="preserve">CPF: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</si>
</sst>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.00\ ;\-#,##0.00\ ;&quot; -&quot;#\ ;@\ "/>
    <numFmt numFmtId="166" formatCode="d/m;@"/>
    <numFmt numFmtId="167" formatCode="mm/yyyy"/>
  </numFmts>
  <fonts count="3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20"/>
      <name val="Arial"/>
      <family val="2"/>
    </font>
    <font>
      <sz val="20"/>
      <color theme="1"/>
      <name val="Arial"/>
      <family val="2"/>
    </font>
    <font>
      <sz val="10"/>
      <name val="Arial"/>
      <family val="2"/>
    </font>
    <font>
      <sz val="24"/>
      <name val="Arial"/>
      <family val="2"/>
    </font>
    <font>
      <sz val="11"/>
      <color theme="1"/>
      <name val="Calibri"/>
      <family val="2"/>
      <scheme val="minor"/>
    </font>
    <font>
      <sz val="16"/>
      <color rgb="FF000000"/>
      <name val="Arial"/>
      <family val="2"/>
    </font>
    <font>
      <b/>
      <sz val="24"/>
      <color indexed="8"/>
      <name val="Arial"/>
      <family val="2"/>
    </font>
    <font>
      <sz val="20"/>
      <color indexed="8"/>
      <name val="Arial"/>
      <family val="2"/>
    </font>
    <font>
      <sz val="16"/>
      <color indexed="8"/>
      <name val="Arial"/>
      <family val="2"/>
    </font>
    <font>
      <sz val="18"/>
      <color indexed="8"/>
      <name val="Arial"/>
      <family val="2"/>
    </font>
    <font>
      <sz val="9"/>
      <color indexed="8"/>
      <name val="Arial"/>
      <family val="2"/>
    </font>
    <font>
      <b/>
      <sz val="22"/>
      <color indexed="8"/>
      <name val="Arial"/>
      <family val="2"/>
    </font>
    <font>
      <sz val="11"/>
      <color indexed="8"/>
      <name val="Arial"/>
      <family val="2"/>
    </font>
    <font>
      <b/>
      <sz val="20"/>
      <color indexed="8"/>
      <name val="Arial"/>
      <family val="2"/>
    </font>
    <font>
      <b/>
      <sz val="16"/>
      <color indexed="8"/>
      <name val="Arial"/>
      <family val="2"/>
    </font>
    <font>
      <b/>
      <sz val="18"/>
      <color indexed="8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20"/>
      <color indexed="10"/>
      <name val="Arial"/>
      <family val="2"/>
    </font>
    <font>
      <sz val="22"/>
      <color indexed="8"/>
      <name val="Arial"/>
      <family val="2"/>
    </font>
    <font>
      <sz val="25"/>
      <color indexed="8"/>
      <name val="Arial"/>
      <family val="2"/>
    </font>
    <font>
      <sz val="23"/>
      <color indexed="8"/>
      <name val="Arial"/>
      <family val="2"/>
    </font>
    <font>
      <sz val="24"/>
      <color indexed="8"/>
      <name val="Arial"/>
      <family val="2"/>
    </font>
    <font>
      <b/>
      <sz val="24"/>
      <color rgb="FF000000"/>
      <name val="Arial"/>
      <family val="2"/>
    </font>
    <font>
      <b/>
      <sz val="22"/>
      <name val="Arial"/>
      <family val="2"/>
    </font>
    <font>
      <sz val="12"/>
      <color indexed="8"/>
      <name val="Arial"/>
      <family val="2"/>
    </font>
    <font>
      <b/>
      <sz val="20"/>
      <name val="Arial"/>
      <family val="2"/>
    </font>
    <font>
      <sz val="14"/>
      <color indexed="8"/>
      <name val="Arial"/>
      <family val="2"/>
    </font>
    <font>
      <sz val="20"/>
      <color rgb="FF000000"/>
      <name val="Arial"/>
      <family val="2"/>
    </font>
    <font>
      <b/>
      <sz val="2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4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58">
    <xf numFmtId="0" fontId="0" fillId="0" borderId="0" xfId="0"/>
    <xf numFmtId="164" fontId="2" fillId="0" borderId="0" xfId="2" applyNumberFormat="1" applyFont="1" applyAlignment="1">
      <alignment vertical="center"/>
    </xf>
    <xf numFmtId="164" fontId="2" fillId="0" borderId="0" xfId="2" applyNumberFormat="1" applyFont="1" applyFill="1" applyAlignment="1">
      <alignment vertical="center"/>
    </xf>
    <xf numFmtId="164" fontId="2" fillId="0" borderId="2" xfId="2" applyNumberFormat="1" applyFont="1" applyBorder="1" applyAlignment="1">
      <alignment vertical="center"/>
    </xf>
    <xf numFmtId="43" fontId="3" fillId="0" borderId="0" xfId="2" applyFont="1" applyAlignment="1">
      <alignment horizontal="left" vertical="center"/>
    </xf>
    <xf numFmtId="164" fontId="4" fillId="0" borderId="0" xfId="2" applyNumberFormat="1" applyFont="1"/>
    <xf numFmtId="164" fontId="5" fillId="0" borderId="0" xfId="2" applyNumberFormat="1" applyFont="1"/>
    <xf numFmtId="164" fontId="2" fillId="0" borderId="0" xfId="2" applyNumberFormat="1" applyFont="1" applyBorder="1" applyAlignment="1">
      <alignment vertical="center"/>
    </xf>
    <xf numFmtId="164" fontId="2" fillId="0" borderId="0" xfId="2" applyNumberFormat="1" applyFont="1" applyAlignment="1">
      <alignment horizontal="right" vertical="center"/>
    </xf>
    <xf numFmtId="164" fontId="2" fillId="0" borderId="0" xfId="2" applyNumberFormat="1" applyFont="1"/>
    <xf numFmtId="43" fontId="3" fillId="0" borderId="0" xfId="2" applyFont="1" applyAlignment="1">
      <alignment horizontal="center"/>
    </xf>
    <xf numFmtId="0" fontId="9" fillId="0" borderId="0" xfId="1" applyFont="1" applyAlignment="1">
      <alignment vertical="center"/>
    </xf>
    <xf numFmtId="43" fontId="10" fillId="0" borderId="0" xfId="4" applyFont="1" applyAlignment="1">
      <alignment vertical="center"/>
    </xf>
    <xf numFmtId="43" fontId="11" fillId="0" borderId="0" xfId="2" applyFont="1" applyAlignment="1">
      <alignment vertical="center"/>
    </xf>
    <xf numFmtId="0" fontId="12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49" fontId="15" fillId="0" borderId="0" xfId="1" applyNumberFormat="1" applyFont="1" applyAlignment="1">
      <alignment horizontal="left" vertical="center"/>
    </xf>
    <xf numFmtId="49" fontId="15" fillId="0" borderId="0" xfId="1" applyNumberFormat="1" applyFont="1" applyAlignment="1">
      <alignment horizontal="right" vertical="center"/>
    </xf>
    <xf numFmtId="43" fontId="16" fillId="0" borderId="0" xfId="4" applyFont="1" applyAlignment="1">
      <alignment vertical="center"/>
    </xf>
    <xf numFmtId="49" fontId="17" fillId="0" borderId="0" xfId="1" applyNumberFormat="1" applyFont="1" applyAlignment="1">
      <alignment horizontal="left" vertical="center"/>
    </xf>
    <xf numFmtId="49" fontId="17" fillId="0" borderId="0" xfId="1" applyNumberFormat="1" applyFont="1" applyAlignment="1">
      <alignment horizontal="right" vertical="center"/>
    </xf>
    <xf numFmtId="49" fontId="15" fillId="0" borderId="3" xfId="1" applyNumberFormat="1" applyFont="1" applyBorder="1" applyAlignment="1">
      <alignment horizontal="center" vertical="center"/>
    </xf>
    <xf numFmtId="43" fontId="18" fillId="0" borderId="0" xfId="4" applyFont="1" applyFill="1" applyAlignment="1">
      <alignment vertical="center"/>
    </xf>
    <xf numFmtId="43" fontId="19" fillId="0" borderId="0" xfId="2" applyFont="1" applyFill="1" applyAlignment="1">
      <alignment vertical="center"/>
    </xf>
    <xf numFmtId="43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49" fontId="15" fillId="0" borderId="3" xfId="1" applyNumberFormat="1" applyFont="1" applyBorder="1" applyAlignment="1">
      <alignment horizontal="center" vertical="center" wrapText="1"/>
    </xf>
    <xf numFmtId="49" fontId="15" fillId="0" borderId="5" xfId="1" applyNumberFormat="1" applyFont="1" applyBorder="1" applyAlignment="1">
      <alignment horizontal="center" vertical="center"/>
    </xf>
    <xf numFmtId="49" fontId="15" fillId="0" borderId="5" xfId="1" applyNumberFormat="1" applyFont="1" applyBorder="1" applyAlignment="1">
      <alignment horizontal="center" vertical="center" wrapText="1"/>
    </xf>
    <xf numFmtId="43" fontId="7" fillId="0" borderId="0" xfId="4" applyFont="1"/>
    <xf numFmtId="43" fontId="9" fillId="0" borderId="0" xfId="1" applyNumberFormat="1" applyFont="1" applyAlignment="1">
      <alignment vertical="center"/>
    </xf>
    <xf numFmtId="43" fontId="9" fillId="0" borderId="0" xfId="2" applyFont="1" applyAlignment="1">
      <alignment vertical="center"/>
    </xf>
    <xf numFmtId="49" fontId="11" fillId="0" borderId="0" xfId="1" applyNumberFormat="1" applyFont="1" applyAlignment="1">
      <alignment horizontal="left" vertical="center"/>
    </xf>
    <xf numFmtId="49" fontId="11" fillId="0" borderId="0" xfId="1" applyNumberFormat="1" applyFont="1" applyAlignment="1">
      <alignment horizontal="right" vertical="center"/>
    </xf>
    <xf numFmtId="43" fontId="9" fillId="0" borderId="0" xfId="1" applyNumberFormat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11" fillId="0" borderId="0" xfId="1" applyFont="1" applyAlignment="1">
      <alignment vertical="center"/>
    </xf>
    <xf numFmtId="1" fontId="11" fillId="0" borderId="0" xfId="1" applyNumberFormat="1" applyFont="1" applyAlignment="1">
      <alignment horizontal="left" vertical="center" wrapText="1"/>
    </xf>
    <xf numFmtId="49" fontId="15" fillId="0" borderId="9" xfId="1" applyNumberFormat="1" applyFont="1" applyBorder="1" applyAlignment="1">
      <alignment horizontal="left" vertical="center"/>
    </xf>
    <xf numFmtId="49" fontId="15" fillId="0" borderId="4" xfId="1" applyNumberFormat="1" applyFont="1" applyBorder="1" applyAlignment="1">
      <alignment horizontal="right" vertical="center"/>
    </xf>
    <xf numFmtId="0" fontId="15" fillId="0" borderId="10" xfId="1" applyFont="1" applyBorder="1" applyAlignment="1">
      <alignment vertical="center"/>
    </xf>
    <xf numFmtId="0" fontId="15" fillId="0" borderId="0" xfId="1" applyFont="1" applyAlignment="1">
      <alignment horizontal="center" vertical="center"/>
    </xf>
    <xf numFmtId="49" fontId="15" fillId="0" borderId="10" xfId="1" applyNumberFormat="1" applyFont="1" applyBorder="1" applyAlignment="1">
      <alignment horizontal="center" vertical="center"/>
    </xf>
    <xf numFmtId="49" fontId="15" fillId="0" borderId="0" xfId="1" applyNumberFormat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5" fillId="0" borderId="11" xfId="1" applyFont="1" applyBorder="1" applyAlignment="1">
      <alignment vertical="center"/>
    </xf>
    <xf numFmtId="0" fontId="15" fillId="0" borderId="0" xfId="1" applyFont="1" applyAlignment="1">
      <alignment horizontal="right" vertical="center"/>
    </xf>
    <xf numFmtId="49" fontId="15" fillId="0" borderId="11" xfId="1" applyNumberFormat="1" applyFont="1" applyBorder="1" applyAlignment="1">
      <alignment horizontal="center" vertical="center"/>
    </xf>
    <xf numFmtId="0" fontId="15" fillId="0" borderId="11" xfId="1" applyFont="1" applyBorder="1" applyAlignment="1">
      <alignment horizontal="right" vertical="center"/>
    </xf>
    <xf numFmtId="0" fontId="15" fillId="0" borderId="11" xfId="1" applyFont="1" applyBorder="1" applyAlignment="1">
      <alignment horizontal="center" vertical="center"/>
    </xf>
    <xf numFmtId="49" fontId="9" fillId="0" borderId="3" xfId="1" applyNumberFormat="1" applyFont="1" applyBorder="1" applyAlignment="1">
      <alignment horizontal="left" vertical="center"/>
    </xf>
    <xf numFmtId="164" fontId="9" fillId="0" borderId="1" xfId="2" applyNumberFormat="1" applyFont="1" applyFill="1" applyBorder="1" applyAlignment="1" applyProtection="1">
      <alignment horizontal="right" vertical="center"/>
    </xf>
    <xf numFmtId="164" fontId="9" fillId="0" borderId="3" xfId="2" applyNumberFormat="1" applyFont="1" applyFill="1" applyBorder="1" applyAlignment="1" applyProtection="1">
      <alignment horizontal="right" vertical="center"/>
    </xf>
    <xf numFmtId="164" fontId="2" fillId="0" borderId="3" xfId="2" applyNumberFormat="1" applyFont="1" applyFill="1" applyBorder="1" applyAlignment="1" applyProtection="1">
      <alignment horizontal="right" vertical="center"/>
    </xf>
    <xf numFmtId="49" fontId="9" fillId="0" borderId="3" xfId="1" applyNumberFormat="1" applyFont="1" applyBorder="1" applyAlignment="1">
      <alignment horizontal="left" vertical="center" wrapText="1"/>
    </xf>
    <xf numFmtId="49" fontId="15" fillId="0" borderId="3" xfId="1" applyNumberFormat="1" applyFont="1" applyBorder="1" applyAlignment="1">
      <alignment vertical="center"/>
    </xf>
    <xf numFmtId="164" fontId="15" fillId="0" borderId="3" xfId="2" applyNumberFormat="1" applyFont="1" applyFill="1" applyBorder="1" applyAlignment="1" applyProtection="1">
      <alignment horizontal="right" vertical="center"/>
    </xf>
    <xf numFmtId="49" fontId="9" fillId="0" borderId="0" xfId="1" applyNumberFormat="1" applyFont="1" applyAlignment="1">
      <alignment horizontal="right" vertical="center"/>
    </xf>
    <xf numFmtId="43" fontId="21" fillId="0" borderId="0" xfId="2" applyFont="1" applyAlignment="1">
      <alignment vertical="center"/>
    </xf>
    <xf numFmtId="43" fontId="11" fillId="0" borderId="0" xfId="2" applyFont="1" applyAlignment="1">
      <alignment horizontal="right" vertical="center"/>
    </xf>
    <xf numFmtId="43" fontId="22" fillId="0" borderId="0" xfId="2" applyFont="1" applyAlignment="1">
      <alignment horizontal="right" vertical="center"/>
    </xf>
    <xf numFmtId="43" fontId="9" fillId="0" borderId="0" xfId="2" applyFont="1" applyAlignment="1">
      <alignment horizontal="right" vertical="center"/>
    </xf>
    <xf numFmtId="43" fontId="22" fillId="0" borderId="0" xfId="1" applyNumberFormat="1" applyFont="1" applyAlignment="1">
      <alignment vertical="center"/>
    </xf>
    <xf numFmtId="0" fontId="11" fillId="0" borderId="0" xfId="1" applyFont="1" applyAlignment="1">
      <alignment horizontal="left" vertical="center"/>
    </xf>
    <xf numFmtId="166" fontId="11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43" fontId="11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49" fontId="23" fillId="0" borderId="0" xfId="1" applyNumberFormat="1" applyFont="1" applyAlignment="1">
      <alignment horizontal="left" vertical="center" wrapText="1"/>
    </xf>
    <xf numFmtId="49" fontId="23" fillId="0" borderId="0" xfId="1" applyNumberFormat="1" applyFont="1" applyAlignment="1">
      <alignment horizontal="right" vertical="center" wrapText="1"/>
    </xf>
    <xf numFmtId="49" fontId="9" fillId="0" borderId="0" xfId="1" applyNumberFormat="1" applyFont="1" applyAlignment="1">
      <alignment horizontal="right" vertical="center" wrapText="1"/>
    </xf>
    <xf numFmtId="49" fontId="23" fillId="0" borderId="0" xfId="1" applyNumberFormat="1" applyFont="1" applyAlignment="1">
      <alignment vertical="center"/>
    </xf>
    <xf numFmtId="0" fontId="23" fillId="0" borderId="0" xfId="1" applyFont="1" applyAlignment="1">
      <alignment horizontal="right" vertical="center"/>
    </xf>
    <xf numFmtId="164" fontId="9" fillId="0" borderId="0" xfId="2" applyNumberFormat="1" applyFont="1" applyAlignment="1">
      <alignment horizontal="right" vertical="center"/>
    </xf>
    <xf numFmtId="164" fontId="9" fillId="0" borderId="0" xfId="2" applyNumberFormat="1" applyFont="1" applyFill="1" applyBorder="1" applyAlignment="1">
      <alignment vertical="center"/>
    </xf>
    <xf numFmtId="0" fontId="14" fillId="0" borderId="0" xfId="1" applyFont="1" applyAlignment="1">
      <alignment horizontal="right"/>
    </xf>
    <xf numFmtId="0" fontId="8" fillId="0" borderId="0" xfId="1" applyFont="1"/>
    <xf numFmtId="0" fontId="8" fillId="0" borderId="0" xfId="1" applyFont="1" applyAlignment="1">
      <alignment horizontal="left" indent="1"/>
    </xf>
    <xf numFmtId="43" fontId="10" fillId="0" borderId="0" xfId="4" applyFont="1"/>
    <xf numFmtId="43" fontId="11" fillId="0" borderId="0" xfId="2" applyFont="1"/>
    <xf numFmtId="0" fontId="12" fillId="0" borderId="0" xfId="1" applyFont="1"/>
    <xf numFmtId="0" fontId="24" fillId="0" borderId="0" xfId="1" applyFont="1"/>
    <xf numFmtId="0" fontId="24" fillId="0" borderId="0" xfId="1" applyFont="1" applyAlignment="1">
      <alignment horizontal="right"/>
    </xf>
    <xf numFmtId="0" fontId="24" fillId="0" borderId="0" xfId="1" applyFont="1" applyAlignment="1">
      <alignment horizontal="left"/>
    </xf>
    <xf numFmtId="0" fontId="25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43" fontId="13" fillId="0" borderId="0" xfId="2" applyFont="1" applyAlignment="1">
      <alignment vertical="center"/>
    </xf>
    <xf numFmtId="49" fontId="8" fillId="0" borderId="0" xfId="1" applyNumberFormat="1" applyFont="1" applyAlignment="1">
      <alignment horizontal="center" vertical="center"/>
    </xf>
    <xf numFmtId="43" fontId="13" fillId="0" borderId="0" xfId="2" applyFont="1" applyFill="1" applyAlignment="1">
      <alignment vertical="center"/>
    </xf>
    <xf numFmtId="14" fontId="2" fillId="0" borderId="3" xfId="1" applyNumberFormat="1" applyFont="1" applyFill="1" applyBorder="1" applyAlignment="1">
      <alignment horizontal="center" vertical="center"/>
    </xf>
    <xf numFmtId="43" fontId="26" fillId="0" borderId="0" xfId="2" applyFont="1" applyFill="1" applyAlignment="1">
      <alignment vertical="center"/>
    </xf>
    <xf numFmtId="164" fontId="9" fillId="0" borderId="5" xfId="2" applyNumberFormat="1" applyFont="1" applyFill="1" applyBorder="1" applyAlignment="1" applyProtection="1">
      <alignment horizontal="center" vertical="center"/>
    </xf>
    <xf numFmtId="14" fontId="3" fillId="0" borderId="5" xfId="1" applyNumberFormat="1" applyFont="1" applyFill="1" applyBorder="1" applyAlignment="1">
      <alignment horizontal="center" vertical="center"/>
    </xf>
    <xf numFmtId="3" fontId="2" fillId="0" borderId="5" xfId="1" applyNumberFormat="1" applyFont="1" applyFill="1" applyBorder="1" applyAlignment="1">
      <alignment horizontal="center" vertical="center"/>
    </xf>
    <xf numFmtId="43" fontId="15" fillId="0" borderId="0" xfId="2" applyFont="1" applyAlignment="1">
      <alignment vertical="center"/>
    </xf>
    <xf numFmtId="0" fontId="27" fillId="0" borderId="0" xfId="1" applyFont="1" applyAlignment="1">
      <alignment vertical="center"/>
    </xf>
    <xf numFmtId="43" fontId="13" fillId="0" borderId="0" xfId="2" applyFont="1" applyFill="1" applyBorder="1" applyAlignment="1" applyProtection="1">
      <alignment vertical="center"/>
    </xf>
    <xf numFmtId="49" fontId="11" fillId="0" borderId="0" xfId="1" applyNumberFormat="1" applyFont="1" applyAlignment="1">
      <alignment vertical="center"/>
    </xf>
    <xf numFmtId="43" fontId="9" fillId="0" borderId="0" xfId="2" applyFont="1"/>
    <xf numFmtId="43" fontId="24" fillId="0" borderId="0" xfId="2" applyFont="1"/>
    <xf numFmtId="0" fontId="27" fillId="0" borderId="0" xfId="1" applyFont="1"/>
    <xf numFmtId="0" fontId="9" fillId="0" borderId="0" xfId="1" applyFont="1"/>
    <xf numFmtId="43" fontId="13" fillId="0" borderId="0" xfId="2" applyFont="1"/>
    <xf numFmtId="0" fontId="9" fillId="0" borderId="0" xfId="1" applyFont="1" applyAlignment="1">
      <alignment horizontal="right"/>
    </xf>
    <xf numFmtId="14" fontId="9" fillId="0" borderId="3" xfId="1" applyNumberFormat="1" applyFont="1" applyBorder="1" applyAlignment="1">
      <alignment horizontal="center" vertical="center"/>
    </xf>
    <xf numFmtId="0" fontId="9" fillId="2" borderId="3" xfId="1" applyFont="1" applyFill="1" applyBorder="1" applyAlignment="1">
      <alignment vertical="center"/>
    </xf>
    <xf numFmtId="43" fontId="9" fillId="0" borderId="0" xfId="2" applyFont="1" applyFill="1" applyBorder="1" applyAlignment="1" applyProtection="1">
      <alignment vertical="center"/>
    </xf>
    <xf numFmtId="164" fontId="9" fillId="0" borderId="0" xfId="2" applyNumberFormat="1" applyFont="1" applyFill="1" applyBorder="1" applyAlignment="1" applyProtection="1">
      <alignment vertical="center"/>
    </xf>
    <xf numFmtId="164" fontId="9" fillId="0" borderId="3" xfId="2" applyNumberFormat="1" applyFont="1" applyFill="1" applyBorder="1" applyAlignment="1" applyProtection="1">
      <alignment vertical="center"/>
    </xf>
    <xf numFmtId="49" fontId="9" fillId="0" borderId="3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/>
    </xf>
    <xf numFmtId="49" fontId="11" fillId="0" borderId="0" xfId="1" applyNumberFormat="1" applyFont="1" applyAlignment="1">
      <alignment horizontal="left"/>
    </xf>
    <xf numFmtId="49" fontId="11" fillId="0" borderId="0" xfId="1" applyNumberFormat="1" applyFont="1" applyAlignment="1">
      <alignment horizontal="right"/>
    </xf>
    <xf numFmtId="0" fontId="11" fillId="0" borderId="0" xfId="1" applyFont="1" applyAlignment="1">
      <alignment horizontal="right"/>
    </xf>
    <xf numFmtId="0" fontId="11" fillId="0" borderId="0" xfId="1" applyFont="1"/>
    <xf numFmtId="1" fontId="11" fillId="0" borderId="0" xfId="1" applyNumberFormat="1" applyFont="1" applyAlignment="1">
      <alignment horizontal="left" vertical="top" wrapText="1"/>
    </xf>
    <xf numFmtId="0" fontId="15" fillId="0" borderId="5" xfId="1" applyFont="1" applyBorder="1"/>
    <xf numFmtId="0" fontId="15" fillId="0" borderId="0" xfId="1" applyFont="1" applyAlignment="1">
      <alignment horizontal="center"/>
    </xf>
    <xf numFmtId="49" fontId="15" fillId="0" borderId="5" xfId="1" applyNumberFormat="1" applyFont="1" applyBorder="1" applyAlignment="1">
      <alignment horizontal="center"/>
    </xf>
    <xf numFmtId="49" fontId="15" fillId="0" borderId="10" xfId="1" applyNumberFormat="1" applyFont="1" applyBorder="1" applyAlignment="1">
      <alignment horizontal="center"/>
    </xf>
    <xf numFmtId="49" fontId="15" fillId="0" borderId="0" xfId="1" applyNumberFormat="1" applyFont="1" applyAlignment="1">
      <alignment horizontal="center"/>
    </xf>
    <xf numFmtId="0" fontId="15" fillId="0" borderId="10" xfId="1" applyFont="1" applyBorder="1"/>
    <xf numFmtId="0" fontId="20" fillId="0" borderId="0" xfId="1" applyFont="1" applyAlignment="1">
      <alignment horizontal="center"/>
    </xf>
    <xf numFmtId="0" fontId="15" fillId="0" borderId="11" xfId="1" applyFont="1" applyBorder="1"/>
    <xf numFmtId="0" fontId="15" fillId="0" borderId="0" xfId="1" applyFont="1" applyAlignment="1">
      <alignment horizontal="right"/>
    </xf>
    <xf numFmtId="49" fontId="15" fillId="0" borderId="11" xfId="1" applyNumberFormat="1" applyFont="1" applyBorder="1" applyAlignment="1">
      <alignment horizontal="center"/>
    </xf>
    <xf numFmtId="0" fontId="15" fillId="0" borderId="11" xfId="1" applyFont="1" applyBorder="1" applyAlignment="1">
      <alignment horizontal="right"/>
    </xf>
    <xf numFmtId="0" fontId="15" fillId="0" borderId="11" xfId="1" applyFont="1" applyBorder="1" applyAlignment="1">
      <alignment horizontal="center"/>
    </xf>
    <xf numFmtId="49" fontId="9" fillId="0" borderId="3" xfId="1" applyNumberFormat="1" applyFont="1" applyBorder="1" applyAlignment="1">
      <alignment horizontal="left" vertical="top" wrapText="1"/>
    </xf>
    <xf numFmtId="164" fontId="2" fillId="0" borderId="3" xfId="2" applyNumberFormat="1" applyFont="1" applyFill="1" applyBorder="1" applyAlignment="1">
      <alignment horizontal="right"/>
    </xf>
    <xf numFmtId="164" fontId="15" fillId="0" borderId="1" xfId="2" applyNumberFormat="1" applyFont="1" applyFill="1" applyBorder="1" applyAlignment="1" applyProtection="1">
      <alignment horizontal="right" vertical="center"/>
    </xf>
    <xf numFmtId="164" fontId="28" fillId="0" borderId="3" xfId="2" applyNumberFormat="1" applyFont="1" applyFill="1" applyBorder="1" applyAlignment="1" applyProtection="1">
      <alignment horizontal="right" vertical="center"/>
    </xf>
    <xf numFmtId="43" fontId="21" fillId="0" borderId="0" xfId="1" applyNumberFormat="1" applyFont="1" applyAlignment="1">
      <alignment vertical="center"/>
    </xf>
    <xf numFmtId="43" fontId="9" fillId="0" borderId="0" xfId="2" applyFont="1" applyFill="1" applyAlignment="1">
      <alignment horizontal="right" vertical="center"/>
    </xf>
    <xf numFmtId="43" fontId="11" fillId="0" borderId="0" xfId="1" applyNumberFormat="1" applyFont="1" applyAlignment="1">
      <alignment horizontal="right" vertical="center"/>
    </xf>
    <xf numFmtId="43" fontId="11" fillId="0" borderId="0" xfId="2" applyFont="1" applyFill="1" applyAlignment="1">
      <alignment horizontal="right" vertical="center"/>
    </xf>
    <xf numFmtId="0" fontId="11" fillId="0" borderId="0" xfId="1" applyFont="1" applyAlignment="1">
      <alignment horizontal="left"/>
    </xf>
    <xf numFmtId="166" fontId="11" fillId="0" borderId="0" xfId="1" applyNumberFormat="1" applyFont="1" applyAlignment="1">
      <alignment horizontal="left"/>
    </xf>
    <xf numFmtId="43" fontId="11" fillId="0" borderId="0" xfId="1" applyNumberFormat="1" applyFont="1" applyAlignment="1">
      <alignment horizontal="left"/>
    </xf>
    <xf numFmtId="0" fontId="14" fillId="0" borderId="0" xfId="1" applyFont="1" applyAlignment="1">
      <alignment horizontal="left"/>
    </xf>
    <xf numFmtId="0" fontId="29" fillId="0" borderId="0" xfId="1" applyFont="1"/>
    <xf numFmtId="0" fontId="29" fillId="0" borderId="0" xfId="1" applyFont="1" applyAlignment="1">
      <alignment horizontal="right"/>
    </xf>
    <xf numFmtId="0" fontId="11" fillId="0" borderId="0" xfId="1" applyFont="1" applyAlignment="1">
      <alignment horizontal="left" vertical="top" wrapText="1"/>
    </xf>
    <xf numFmtId="0" fontId="23" fillId="0" borderId="0" xfId="1" applyFont="1"/>
    <xf numFmtId="0" fontId="23" fillId="0" borderId="0" xfId="1" applyFont="1" applyAlignment="1">
      <alignment horizontal="right"/>
    </xf>
    <xf numFmtId="164" fontId="23" fillId="0" borderId="0" xfId="2" applyNumberFormat="1" applyFont="1" applyAlignment="1">
      <alignment horizontal="right"/>
    </xf>
    <xf numFmtId="164" fontId="23" fillId="0" borderId="0" xfId="2" applyNumberFormat="1" applyFont="1" applyFill="1" applyAlignment="1">
      <alignment horizontal="right"/>
    </xf>
    <xf numFmtId="49" fontId="23" fillId="0" borderId="0" xfId="1" applyNumberFormat="1" applyFont="1"/>
    <xf numFmtId="0" fontId="14" fillId="0" borderId="0" xfId="1" applyFont="1"/>
    <xf numFmtId="0" fontId="8" fillId="0" borderId="0" xfId="1" applyFont="1" applyAlignment="1">
      <alignment horizontal="right"/>
    </xf>
    <xf numFmtId="0" fontId="8" fillId="0" borderId="0" xfId="1" applyFont="1" applyAlignment="1">
      <alignment horizontal="center"/>
    </xf>
    <xf numFmtId="14" fontId="30" fillId="0" borderId="3" xfId="1" applyNumberFormat="1" applyFont="1" applyFill="1" applyBorder="1" applyAlignment="1">
      <alignment horizontal="center" vertical="center"/>
    </xf>
    <xf numFmtId="1" fontId="30" fillId="0" borderId="5" xfId="1" applyNumberFormat="1" applyFont="1" applyBorder="1" applyAlignment="1">
      <alignment horizontal="center" vertical="center"/>
    </xf>
    <xf numFmtId="43" fontId="9" fillId="0" borderId="0" xfId="4" applyFont="1" applyAlignment="1">
      <alignment vertical="center"/>
    </xf>
    <xf numFmtId="43" fontId="21" fillId="0" borderId="0" xfId="4" applyFont="1" applyAlignment="1">
      <alignment vertical="center"/>
    </xf>
    <xf numFmtId="43" fontId="8" fillId="0" borderId="0" xfId="4" applyFont="1" applyAlignment="1">
      <alignment horizontal="center" vertical="center"/>
    </xf>
    <xf numFmtId="43" fontId="9" fillId="0" borderId="0" xfId="4" applyFont="1"/>
    <xf numFmtId="43" fontId="9" fillId="0" borderId="0" xfId="1" applyNumberFormat="1" applyFont="1"/>
    <xf numFmtId="43" fontId="21" fillId="0" borderId="0" xfId="2" applyFont="1" applyFill="1" applyAlignment="1">
      <alignment vertical="center"/>
    </xf>
    <xf numFmtId="49" fontId="9" fillId="0" borderId="5" xfId="1" applyNumberFormat="1" applyFont="1" applyBorder="1" applyAlignment="1">
      <alignment horizontal="center" vertical="center"/>
    </xf>
    <xf numFmtId="164" fontId="9" fillId="0" borderId="5" xfId="2" applyNumberFormat="1" applyFont="1" applyFill="1" applyBorder="1" applyAlignment="1" applyProtection="1">
      <alignment horizontal="center" vertical="center"/>
    </xf>
    <xf numFmtId="164" fontId="9" fillId="0" borderId="5" xfId="2" applyNumberFormat="1" applyFont="1" applyFill="1" applyBorder="1" applyAlignment="1" applyProtection="1">
      <alignment horizontal="center" vertical="center"/>
    </xf>
    <xf numFmtId="164" fontId="9" fillId="0" borderId="5" xfId="2" applyNumberFormat="1" applyFont="1" applyFill="1" applyBorder="1" applyAlignment="1" applyProtection="1">
      <alignment horizontal="center" vertical="center"/>
    </xf>
    <xf numFmtId="43" fontId="2" fillId="0" borderId="0" xfId="1" applyNumberFormat="1" applyFont="1"/>
    <xf numFmtId="43" fontId="11" fillId="4" borderId="0" xfId="2" applyFont="1" applyFill="1" applyAlignment="1">
      <alignment vertical="center"/>
    </xf>
    <xf numFmtId="43" fontId="21" fillId="4" borderId="0" xfId="4" applyFont="1" applyFill="1" applyAlignment="1">
      <alignment vertical="center"/>
    </xf>
    <xf numFmtId="43" fontId="9" fillId="4" borderId="0" xfId="1" applyNumberFormat="1" applyFont="1" applyFill="1" applyAlignment="1">
      <alignment vertical="center"/>
    </xf>
    <xf numFmtId="0" fontId="9" fillId="4" borderId="0" xfId="1" applyFont="1" applyFill="1" applyAlignment="1">
      <alignment vertical="center"/>
    </xf>
    <xf numFmtId="164" fontId="9" fillId="0" borderId="5" xfId="2" applyNumberFormat="1" applyFont="1" applyFill="1" applyBorder="1" applyAlignment="1" applyProtection="1">
      <alignment horizontal="center" vertical="center"/>
    </xf>
    <xf numFmtId="164" fontId="9" fillId="0" borderId="5" xfId="2" applyNumberFormat="1" applyFont="1" applyFill="1" applyBorder="1" applyAlignment="1" applyProtection="1">
      <alignment horizontal="center" vertical="center"/>
    </xf>
    <xf numFmtId="164" fontId="9" fillId="0" borderId="5" xfId="2" applyNumberFormat="1" applyFont="1" applyFill="1" applyBorder="1" applyAlignment="1" applyProtection="1">
      <alignment horizontal="center" vertical="center"/>
    </xf>
    <xf numFmtId="49" fontId="9" fillId="0" borderId="3" xfId="1" applyNumberFormat="1" applyFont="1" applyFill="1" applyBorder="1" applyAlignment="1">
      <alignment horizontal="left" vertical="center"/>
    </xf>
    <xf numFmtId="164" fontId="9" fillId="0" borderId="5" xfId="2" applyNumberFormat="1" applyFont="1" applyFill="1" applyBorder="1" applyAlignment="1" applyProtection="1">
      <alignment horizontal="center" vertical="center"/>
    </xf>
    <xf numFmtId="164" fontId="9" fillId="0" borderId="5" xfId="2" applyNumberFormat="1" applyFont="1" applyFill="1" applyBorder="1" applyAlignment="1" applyProtection="1">
      <alignment horizontal="center" vertical="center"/>
    </xf>
    <xf numFmtId="164" fontId="9" fillId="0" borderId="5" xfId="2" applyNumberFormat="1" applyFont="1" applyFill="1" applyBorder="1" applyAlignment="1" applyProtection="1">
      <alignment horizontal="center" vertical="center"/>
    </xf>
    <xf numFmtId="164" fontId="9" fillId="0" borderId="5" xfId="2" applyNumberFormat="1" applyFont="1" applyFill="1" applyBorder="1" applyAlignment="1" applyProtection="1">
      <alignment horizontal="center" vertical="center"/>
    </xf>
    <xf numFmtId="164" fontId="9" fillId="0" borderId="5" xfId="2" applyNumberFormat="1" applyFont="1" applyFill="1" applyBorder="1" applyAlignment="1" applyProtection="1">
      <alignment horizontal="center" vertical="center"/>
    </xf>
    <xf numFmtId="49" fontId="9" fillId="0" borderId="5" xfId="1" applyNumberFormat="1" applyFont="1" applyBorder="1" applyAlignment="1">
      <alignment horizontal="center" vertical="center" wrapText="1"/>
    </xf>
    <xf numFmtId="43" fontId="9" fillId="0" borderId="5" xfId="4" applyFont="1" applyBorder="1" applyAlignment="1">
      <alignment horizontal="center" vertical="center" wrapText="1"/>
    </xf>
    <xf numFmtId="49" fontId="9" fillId="0" borderId="3" xfId="1" applyNumberFormat="1" applyFont="1" applyBorder="1" applyAlignment="1">
      <alignment horizontal="left" vertical="center"/>
    </xf>
    <xf numFmtId="165" fontId="9" fillId="0" borderId="1" xfId="1" applyNumberFormat="1" applyFont="1" applyBorder="1" applyAlignment="1">
      <alignment horizontal="right" vertical="center"/>
    </xf>
    <xf numFmtId="165" fontId="9" fillId="0" borderId="2" xfId="1" applyNumberFormat="1" applyFont="1" applyBorder="1" applyAlignment="1">
      <alignment horizontal="right" vertical="center"/>
    </xf>
    <xf numFmtId="164" fontId="9" fillId="0" borderId="3" xfId="2" applyNumberFormat="1" applyFont="1" applyFill="1" applyBorder="1" applyAlignment="1" applyProtection="1">
      <alignment horizontal="center" vertical="center"/>
    </xf>
    <xf numFmtId="164" fontId="9" fillId="0" borderId="1" xfId="2" applyNumberFormat="1" applyFont="1" applyFill="1" applyBorder="1" applyAlignment="1" applyProtection="1">
      <alignment horizontal="center" vertical="center"/>
    </xf>
    <xf numFmtId="164" fontId="9" fillId="0" borderId="2" xfId="2" applyNumberFormat="1" applyFont="1" applyFill="1" applyBorder="1" applyAlignment="1" applyProtection="1">
      <alignment horizontal="center" vertical="center"/>
    </xf>
    <xf numFmtId="43" fontId="9" fillId="0" borderId="1" xfId="4" applyFont="1" applyBorder="1" applyAlignment="1">
      <alignment horizontal="right" vertical="center" wrapText="1"/>
    </xf>
    <xf numFmtId="43" fontId="9" fillId="0" borderId="2" xfId="4" applyFont="1" applyBorder="1" applyAlignment="1">
      <alignment horizontal="right" vertical="center" wrapText="1"/>
    </xf>
    <xf numFmtId="49" fontId="9" fillId="0" borderId="5" xfId="1" applyNumberFormat="1" applyFont="1" applyBorder="1" applyAlignment="1">
      <alignment horizontal="center" vertical="center" wrapText="1"/>
    </xf>
    <xf numFmtId="49" fontId="9" fillId="0" borderId="11" xfId="1" applyNumberFormat="1" applyFont="1" applyBorder="1" applyAlignment="1">
      <alignment horizontal="center" vertical="center" wrapText="1"/>
    </xf>
    <xf numFmtId="49" fontId="11" fillId="0" borderId="0" xfId="1" applyNumberFormat="1" applyFont="1" applyAlignment="1">
      <alignment horizontal="left" vertical="center"/>
    </xf>
    <xf numFmtId="49" fontId="9" fillId="0" borderId="1" xfId="1" applyNumberFormat="1" applyFont="1" applyBorder="1" applyAlignment="1">
      <alignment horizontal="left" vertical="center"/>
    </xf>
    <xf numFmtId="49" fontId="9" fillId="0" borderId="4" xfId="1" applyNumberFormat="1" applyFont="1" applyBorder="1" applyAlignment="1">
      <alignment horizontal="left" vertical="center"/>
    </xf>
    <xf numFmtId="49" fontId="9" fillId="0" borderId="2" xfId="1" applyNumberFormat="1" applyFont="1" applyBorder="1" applyAlignment="1">
      <alignment horizontal="left" vertical="center"/>
    </xf>
    <xf numFmtId="164" fontId="15" fillId="0" borderId="3" xfId="2" applyNumberFormat="1" applyFont="1" applyFill="1" applyBorder="1" applyAlignment="1" applyProtection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43" fontId="15" fillId="0" borderId="3" xfId="2" applyFont="1" applyBorder="1" applyAlignment="1">
      <alignment horizontal="right" vertical="center"/>
    </xf>
    <xf numFmtId="165" fontId="15" fillId="0" borderId="1" xfId="1" applyNumberFormat="1" applyFont="1" applyBorder="1" applyAlignment="1">
      <alignment horizontal="right" vertical="center"/>
    </xf>
    <xf numFmtId="165" fontId="15" fillId="0" borderId="2" xfId="1" applyNumberFormat="1" applyFont="1" applyBorder="1" applyAlignment="1">
      <alignment horizontal="right" vertical="center"/>
    </xf>
    <xf numFmtId="1" fontId="11" fillId="0" borderId="0" xfId="1" applyNumberFormat="1" applyFont="1" applyAlignment="1">
      <alignment horizontal="left" vertical="center" wrapText="1"/>
    </xf>
    <xf numFmtId="49" fontId="15" fillId="0" borderId="6" xfId="1" applyNumberFormat="1" applyFont="1" applyBorder="1" applyAlignment="1">
      <alignment horizontal="center" vertical="center"/>
    </xf>
    <xf numFmtId="49" fontId="15" fillId="0" borderId="7" xfId="1" applyNumberFormat="1" applyFont="1" applyBorder="1" applyAlignment="1">
      <alignment horizontal="center" vertical="center"/>
    </xf>
    <xf numFmtId="49" fontId="15" fillId="0" borderId="8" xfId="1" applyNumberFormat="1" applyFont="1" applyBorder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49" fontId="15" fillId="0" borderId="1" xfId="1" applyNumberFormat="1" applyFont="1" applyBorder="1" applyAlignment="1">
      <alignment horizontal="center" vertical="center"/>
    </xf>
    <xf numFmtId="49" fontId="15" fillId="0" borderId="4" xfId="1" applyNumberFormat="1" applyFont="1" applyBorder="1" applyAlignment="1">
      <alignment horizontal="center" vertical="center"/>
    </xf>
    <xf numFmtId="49" fontId="15" fillId="0" borderId="2" xfId="1" applyNumberFormat="1" applyFont="1" applyBorder="1" applyAlignment="1">
      <alignment horizontal="center" vertical="center"/>
    </xf>
    <xf numFmtId="164" fontId="15" fillId="0" borderId="1" xfId="2" applyNumberFormat="1" applyFont="1" applyFill="1" applyBorder="1" applyAlignment="1" applyProtection="1">
      <alignment horizontal="right" vertical="center"/>
    </xf>
    <xf numFmtId="164" fontId="15" fillId="0" borderId="2" xfId="2" applyNumberFormat="1" applyFont="1" applyFill="1" applyBorder="1" applyAlignment="1" applyProtection="1">
      <alignment horizontal="right" vertical="center"/>
    </xf>
    <xf numFmtId="0" fontId="8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 wrapText="1"/>
    </xf>
    <xf numFmtId="0" fontId="25" fillId="0" borderId="0" xfId="1" applyFont="1" applyAlignment="1">
      <alignment vertical="center"/>
    </xf>
    <xf numFmtId="49" fontId="2" fillId="0" borderId="1" xfId="1" applyNumberFormat="1" applyFont="1" applyBorder="1" applyAlignment="1">
      <alignment horizontal="left" vertical="center" wrapText="1"/>
    </xf>
    <xf numFmtId="49" fontId="2" fillId="0" borderId="2" xfId="1" applyNumberFormat="1" applyFont="1" applyBorder="1" applyAlignment="1">
      <alignment horizontal="left" vertical="center" wrapText="1"/>
    </xf>
    <xf numFmtId="44" fontId="2" fillId="0" borderId="1" xfId="2" applyNumberFormat="1" applyFont="1" applyFill="1" applyBorder="1" applyAlignment="1" applyProtection="1">
      <alignment horizontal="center" vertical="center"/>
    </xf>
    <xf numFmtId="44" fontId="2" fillId="0" borderId="2" xfId="2" applyNumberFormat="1" applyFont="1" applyFill="1" applyBorder="1" applyAlignment="1" applyProtection="1">
      <alignment horizontal="center" vertical="center"/>
    </xf>
    <xf numFmtId="49" fontId="15" fillId="0" borderId="3" xfId="1" applyNumberFormat="1" applyFont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left" vertical="center" wrapText="1"/>
    </xf>
    <xf numFmtId="49" fontId="2" fillId="0" borderId="2" xfId="1" applyNumberFormat="1" applyFont="1" applyFill="1" applyBorder="1" applyAlignment="1">
      <alignment horizontal="left" vertical="center" wrapText="1"/>
    </xf>
    <xf numFmtId="164" fontId="2" fillId="0" borderId="1" xfId="2" applyNumberFormat="1" applyFont="1" applyFill="1" applyBorder="1" applyAlignment="1" applyProtection="1">
      <alignment horizontal="center" vertical="center"/>
    </xf>
    <xf numFmtId="164" fontId="2" fillId="0" borderId="2" xfId="2" applyNumberFormat="1" applyFont="1" applyFill="1" applyBorder="1" applyAlignment="1" applyProtection="1">
      <alignment horizontal="center" vertical="center"/>
    </xf>
    <xf numFmtId="49" fontId="13" fillId="0" borderId="0" xfId="1" applyNumberFormat="1" applyFont="1" applyAlignment="1">
      <alignment horizontal="center" vertical="center"/>
    </xf>
    <xf numFmtId="49" fontId="15" fillId="0" borderId="0" xfId="1" applyNumberFormat="1" applyFont="1" applyAlignment="1">
      <alignment horizontal="left" vertical="top" wrapText="1"/>
    </xf>
    <xf numFmtId="49" fontId="9" fillId="0" borderId="5" xfId="1" applyNumberFormat="1" applyFont="1" applyBorder="1" applyAlignment="1">
      <alignment horizontal="center" vertical="center"/>
    </xf>
    <xf numFmtId="49" fontId="9" fillId="0" borderId="11" xfId="1" applyNumberFormat="1" applyFont="1" applyBorder="1" applyAlignment="1">
      <alignment horizontal="center" vertical="center"/>
    </xf>
    <xf numFmtId="43" fontId="9" fillId="0" borderId="5" xfId="4" applyFont="1" applyBorder="1" applyAlignment="1">
      <alignment horizontal="center" vertical="center" wrapText="1"/>
    </xf>
    <xf numFmtId="43" fontId="9" fillId="0" borderId="11" xfId="4" applyFont="1" applyBorder="1" applyAlignment="1">
      <alignment horizontal="center" vertical="center" wrapText="1"/>
    </xf>
    <xf numFmtId="49" fontId="9" fillId="0" borderId="10" xfId="1" applyNumberFormat="1" applyFont="1" applyBorder="1" applyAlignment="1">
      <alignment horizontal="center" vertical="center"/>
    </xf>
    <xf numFmtId="167" fontId="9" fillId="0" borderId="5" xfId="1" applyNumberFormat="1" applyFont="1" applyBorder="1" applyAlignment="1">
      <alignment horizontal="center" vertical="center"/>
    </xf>
    <xf numFmtId="167" fontId="9" fillId="0" borderId="10" xfId="1" applyNumberFormat="1" applyFont="1" applyBorder="1" applyAlignment="1">
      <alignment horizontal="center" vertical="center"/>
    </xf>
    <xf numFmtId="164" fontId="9" fillId="0" borderId="5" xfId="2" applyNumberFormat="1" applyFont="1" applyFill="1" applyBorder="1" applyAlignment="1" applyProtection="1">
      <alignment horizontal="center" vertical="center"/>
    </xf>
    <xf numFmtId="164" fontId="9" fillId="0" borderId="10" xfId="2" applyNumberFormat="1" applyFont="1" applyFill="1" applyBorder="1" applyAlignment="1" applyProtection="1">
      <alignment horizontal="center" vertical="center"/>
    </xf>
    <xf numFmtId="164" fontId="9" fillId="0" borderId="6" xfId="2" applyNumberFormat="1" applyFont="1" applyFill="1" applyBorder="1" applyAlignment="1" applyProtection="1">
      <alignment horizontal="center" vertical="center"/>
    </xf>
    <xf numFmtId="164" fontId="9" fillId="0" borderId="8" xfId="2" applyNumberFormat="1" applyFont="1" applyFill="1" applyBorder="1" applyAlignment="1" applyProtection="1">
      <alignment horizontal="center" vertical="center"/>
    </xf>
    <xf numFmtId="164" fontId="9" fillId="0" borderId="12" xfId="2" applyNumberFormat="1" applyFont="1" applyFill="1" applyBorder="1" applyAlignment="1" applyProtection="1">
      <alignment horizontal="center" vertical="center"/>
    </xf>
    <xf numFmtId="164" fontId="9" fillId="0" borderId="13" xfId="2" applyNumberFormat="1" applyFont="1" applyFill="1" applyBorder="1" applyAlignment="1" applyProtection="1">
      <alignment horizontal="center" vertical="center"/>
    </xf>
    <xf numFmtId="44" fontId="2" fillId="0" borderId="1" xfId="2" applyNumberFormat="1" applyFont="1" applyFill="1" applyBorder="1" applyAlignment="1" applyProtection="1">
      <alignment horizontal="right" vertical="center"/>
    </xf>
    <xf numFmtId="44" fontId="2" fillId="0" borderId="2" xfId="2" applyNumberFormat="1" applyFont="1" applyFill="1" applyBorder="1" applyAlignment="1" applyProtection="1">
      <alignment horizontal="right" vertical="center"/>
    </xf>
    <xf numFmtId="0" fontId="8" fillId="0" borderId="0" xfId="1" applyFont="1" applyAlignment="1">
      <alignment horizontal="center"/>
    </xf>
    <xf numFmtId="49" fontId="9" fillId="0" borderId="14" xfId="1" applyNumberFormat="1" applyFont="1" applyBorder="1" applyAlignment="1">
      <alignment horizontal="left" vertical="center"/>
    </xf>
    <xf numFmtId="49" fontId="9" fillId="0" borderId="16" xfId="1" applyNumberFormat="1" applyFont="1" applyBorder="1" applyAlignment="1">
      <alignment horizontal="left" vertical="center"/>
    </xf>
    <xf numFmtId="49" fontId="9" fillId="0" borderId="15" xfId="1" applyNumberFormat="1" applyFont="1" applyBorder="1" applyAlignment="1">
      <alignment horizontal="left" vertical="center"/>
    </xf>
    <xf numFmtId="0" fontId="11" fillId="0" borderId="0" xfId="1" applyFont="1" applyAlignment="1">
      <alignment horizontal="left" vertical="top" wrapText="1"/>
    </xf>
    <xf numFmtId="0" fontId="9" fillId="2" borderId="1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165" fontId="15" fillId="0" borderId="3" xfId="1" applyNumberFormat="1" applyFont="1" applyBorder="1" applyAlignment="1">
      <alignment horizontal="right" vertical="center"/>
    </xf>
    <xf numFmtId="49" fontId="15" fillId="0" borderId="1" xfId="1" applyNumberFormat="1" applyFont="1" applyBorder="1" applyAlignment="1">
      <alignment horizontal="left" vertical="center"/>
    </xf>
    <xf numFmtId="49" fontId="15" fillId="0" borderId="4" xfId="1" applyNumberFormat="1" applyFont="1" applyBorder="1" applyAlignment="1">
      <alignment horizontal="left" vertical="center"/>
    </xf>
    <xf numFmtId="49" fontId="15" fillId="0" borderId="2" xfId="1" applyNumberFormat="1" applyFont="1" applyBorder="1" applyAlignment="1">
      <alignment horizontal="left" vertical="center"/>
    </xf>
    <xf numFmtId="49" fontId="9" fillId="0" borderId="3" xfId="1" applyNumberFormat="1" applyFont="1" applyBorder="1" applyAlignment="1">
      <alignment horizontal="center" vertical="center"/>
    </xf>
    <xf numFmtId="49" fontId="15" fillId="0" borderId="3" xfId="1" applyNumberFormat="1" applyFont="1" applyBorder="1" applyAlignment="1">
      <alignment horizontal="center" vertical="center"/>
    </xf>
    <xf numFmtId="164" fontId="9" fillId="3" borderId="3" xfId="2" applyNumberFormat="1" applyFont="1" applyFill="1" applyBorder="1" applyAlignment="1" applyProtection="1">
      <alignment horizontal="center" vertical="center"/>
    </xf>
    <xf numFmtId="49" fontId="13" fillId="0" borderId="0" xfId="1" applyNumberFormat="1" applyFont="1" applyAlignment="1">
      <alignment horizontal="center" vertical="justify"/>
    </xf>
  </cellXfs>
  <cellStyles count="5">
    <cellStyle name="Normal" xfId="0" builtinId="0"/>
    <cellStyle name="Normal 2" xfId="1"/>
    <cellStyle name="Vírgula" xfId="4" builtinId="3"/>
    <cellStyle name="Vírgula 3" xfId="2"/>
    <cellStyle name="Vírgula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IT188"/>
  <sheetViews>
    <sheetView zoomScale="50" zoomScaleNormal="50" zoomScaleSheetLayoutView="50" workbookViewId="0">
      <selection activeCell="B14" sqref="B14"/>
    </sheetView>
  </sheetViews>
  <sheetFormatPr defaultColWidth="0" defaultRowHeight="27.75" x14ac:dyDescent="0.25"/>
  <cols>
    <col min="1" max="1" width="44.140625" style="15" customWidth="1"/>
    <col min="2" max="2" width="46.42578125" style="16" customWidth="1"/>
    <col min="3" max="4" width="44.140625" style="16" customWidth="1"/>
    <col min="5" max="5" width="44.140625" style="17" customWidth="1"/>
    <col min="6" max="6" width="44.140625" style="1" customWidth="1"/>
    <col min="7" max="7" width="37.42578125" style="91" customWidth="1"/>
    <col min="8" max="8" width="32.140625" style="14" bestFit="1" customWidth="1"/>
    <col min="9" max="9" width="24" style="14" bestFit="1" customWidth="1"/>
    <col min="10" max="14" width="9.140625" style="14" customWidth="1"/>
    <col min="15" max="15" width="1.7109375" style="14" customWidth="1"/>
    <col min="16" max="27" width="9.140625" style="14" customWidth="1"/>
    <col min="28" max="28" width="1.42578125" style="14" customWidth="1"/>
    <col min="29" max="51" width="9.140625" style="14" customWidth="1"/>
    <col min="52" max="52" width="1.28515625" style="14" customWidth="1"/>
    <col min="53" max="73" width="9.140625" style="14" customWidth="1"/>
    <col min="74" max="74" width="1.28515625" style="14" customWidth="1"/>
    <col min="75" max="92" width="9.140625" style="14" customWidth="1"/>
    <col min="93" max="93" width="0.42578125" style="14" customWidth="1"/>
    <col min="94" max="94" width="1.140625" style="14" customWidth="1"/>
    <col min="95" max="117" width="9.140625" style="14" customWidth="1"/>
    <col min="118" max="118" width="1.7109375" style="14" customWidth="1"/>
    <col min="119" max="164" width="9.140625" style="14" customWidth="1"/>
    <col min="165" max="165" width="3.42578125" style="14" customWidth="1"/>
    <col min="166" max="188" width="9.140625" style="14" customWidth="1"/>
    <col min="189" max="189" width="2" style="14" customWidth="1"/>
    <col min="190" max="190" width="8" style="14" customWidth="1"/>
    <col min="191" max="195" width="9.140625" style="14" customWidth="1"/>
    <col min="196" max="196" width="8.7109375" style="14" customWidth="1"/>
    <col min="197" max="205" width="9.140625" style="14" customWidth="1"/>
    <col min="206" max="206" width="3.7109375" style="14" customWidth="1"/>
    <col min="207" max="208" width="9.140625" style="14" customWidth="1"/>
    <col min="209" max="209" width="2" style="14" customWidth="1"/>
    <col min="210" max="210" width="8" style="14" customWidth="1"/>
    <col min="211" max="215" width="9.140625" style="14" customWidth="1"/>
    <col min="216" max="216" width="8.7109375" style="14" customWidth="1"/>
    <col min="217" max="225" width="9.140625" style="14" customWidth="1"/>
    <col min="226" max="226" width="3.7109375" style="14" customWidth="1"/>
    <col min="227" max="228" width="9.140625" style="14" customWidth="1"/>
    <col min="229" max="229" width="2" style="14" customWidth="1"/>
    <col min="230" max="230" width="8" style="14" customWidth="1"/>
    <col min="231" max="235" width="9.140625" style="14" customWidth="1"/>
    <col min="236" max="236" width="8.7109375" style="14" customWidth="1"/>
    <col min="237" max="245" width="9.140625" style="14" customWidth="1"/>
    <col min="246" max="246" width="3.7109375" style="14" customWidth="1"/>
    <col min="247" max="247" width="9.140625" style="14" customWidth="1"/>
    <col min="248" max="254" width="0" style="14" hidden="1" customWidth="1"/>
    <col min="255" max="16384" width="9.140625" style="14" hidden="1"/>
  </cols>
  <sheetData>
    <row r="1" spans="1:7" ht="30" customHeight="1" x14ac:dyDescent="0.25">
      <c r="A1" s="207"/>
      <c r="B1" s="207"/>
      <c r="C1" s="207"/>
      <c r="D1" s="207"/>
      <c r="E1" s="207"/>
      <c r="F1" s="11"/>
    </row>
    <row r="2" spans="1:7" ht="30" customHeight="1" x14ac:dyDescent="0.25">
      <c r="A2" s="92"/>
      <c r="B2" s="92"/>
      <c r="C2" s="92"/>
      <c r="D2" s="92"/>
      <c r="E2" s="92"/>
      <c r="F2" s="11"/>
    </row>
    <row r="3" spans="1:7" ht="30" customHeight="1" x14ac:dyDescent="0.25">
      <c r="A3" s="92"/>
      <c r="B3" s="92"/>
      <c r="C3" s="92"/>
      <c r="D3" s="92"/>
      <c r="E3" s="92"/>
      <c r="F3" s="11"/>
    </row>
    <row r="4" spans="1:7" ht="30" customHeight="1" x14ac:dyDescent="0.25">
      <c r="A4" s="92"/>
      <c r="B4" s="92"/>
      <c r="C4" s="92"/>
      <c r="D4" s="92"/>
      <c r="E4" s="92"/>
      <c r="F4" s="11"/>
    </row>
    <row r="5" spans="1:7" ht="30" customHeight="1" x14ac:dyDescent="0.25">
      <c r="A5" s="92"/>
      <c r="B5" s="92"/>
      <c r="C5" s="92"/>
      <c r="D5" s="92"/>
      <c r="E5" s="92"/>
      <c r="F5" s="11"/>
    </row>
    <row r="6" spans="1:7" ht="30" customHeight="1" x14ac:dyDescent="0.25">
      <c r="A6" s="92"/>
      <c r="B6" s="92"/>
      <c r="C6" s="92"/>
      <c r="D6" s="92"/>
      <c r="E6" s="92"/>
      <c r="F6" s="11"/>
    </row>
    <row r="7" spans="1:7" ht="30" customHeight="1" x14ac:dyDescent="0.25">
      <c r="A7" s="92"/>
      <c r="B7" s="92"/>
      <c r="C7" s="92"/>
      <c r="D7" s="92"/>
      <c r="E7" s="92"/>
      <c r="F7" s="11"/>
    </row>
    <row r="8" spans="1:7" ht="30" customHeight="1" x14ac:dyDescent="0.25">
      <c r="A8" s="207"/>
      <c r="B8" s="207"/>
      <c r="C8" s="207"/>
      <c r="D8" s="207"/>
      <c r="E8" s="207"/>
      <c r="F8" s="11"/>
    </row>
    <row r="9" spans="1:7" ht="30" customHeight="1" x14ac:dyDescent="0.25">
      <c r="A9" s="225" t="s">
        <v>93</v>
      </c>
      <c r="B9" s="225"/>
      <c r="C9" s="225"/>
      <c r="D9" s="225"/>
      <c r="E9" s="225"/>
      <c r="F9" s="225"/>
    </row>
    <row r="10" spans="1:7" ht="30" customHeight="1" x14ac:dyDescent="0.25">
      <c r="A10" s="225" t="s">
        <v>1</v>
      </c>
      <c r="B10" s="225"/>
      <c r="C10" s="225"/>
      <c r="D10" s="225"/>
      <c r="E10" s="225"/>
      <c r="F10" s="225"/>
    </row>
    <row r="11" spans="1:7" ht="30" customHeight="1" x14ac:dyDescent="0.25"/>
    <row r="12" spans="1:7" s="11" customFormat="1" ht="30" customHeight="1" x14ac:dyDescent="0.25">
      <c r="A12" s="18" t="s">
        <v>86</v>
      </c>
      <c r="B12" s="19"/>
      <c r="C12" s="19"/>
      <c r="D12" s="19"/>
      <c r="E12" s="19"/>
      <c r="G12" s="91"/>
    </row>
    <row r="13" spans="1:7" s="11" customFormat="1" ht="30" customHeight="1" x14ac:dyDescent="0.25">
      <c r="A13" s="18" t="s">
        <v>87</v>
      </c>
      <c r="B13" s="19"/>
      <c r="C13" s="19"/>
      <c r="D13" s="19"/>
      <c r="E13" s="19"/>
      <c r="G13" s="91"/>
    </row>
    <row r="14" spans="1:7" s="11" customFormat="1" ht="30" customHeight="1" x14ac:dyDescent="0.25">
      <c r="A14" s="18" t="s">
        <v>88</v>
      </c>
      <c r="B14" s="19"/>
      <c r="C14" s="19"/>
      <c r="D14" s="19"/>
      <c r="E14" s="19"/>
      <c r="G14" s="91"/>
    </row>
    <row r="15" spans="1:7" s="11" customFormat="1" ht="30" customHeight="1" x14ac:dyDescent="0.25">
      <c r="A15" s="18" t="s">
        <v>89</v>
      </c>
      <c r="B15" s="19"/>
      <c r="C15" s="19"/>
      <c r="D15" s="19"/>
      <c r="E15" s="19"/>
      <c r="G15" s="91"/>
    </row>
    <row r="16" spans="1:7" s="11" customFormat="1" ht="30" customHeight="1" x14ac:dyDescent="0.25">
      <c r="A16" s="18" t="s">
        <v>90</v>
      </c>
      <c r="B16" s="19"/>
      <c r="C16" s="19"/>
      <c r="D16" s="19"/>
      <c r="E16" s="19"/>
      <c r="G16" s="91"/>
    </row>
    <row r="17" spans="1:9" s="11" customFormat="1" ht="30" customHeight="1" x14ac:dyDescent="0.25">
      <c r="A17" s="18" t="s">
        <v>199</v>
      </c>
      <c r="B17" s="19"/>
      <c r="C17" s="19"/>
      <c r="D17" s="19"/>
      <c r="E17" s="19"/>
      <c r="G17" s="91"/>
    </row>
    <row r="18" spans="1:9" s="11" customFormat="1" ht="30" customHeight="1" x14ac:dyDescent="0.25">
      <c r="A18" s="226" t="s">
        <v>196</v>
      </c>
      <c r="B18" s="226"/>
      <c r="C18" s="226"/>
      <c r="D18" s="226"/>
      <c r="E18" s="226"/>
      <c r="F18" s="226"/>
      <c r="G18" s="20"/>
      <c r="H18" s="13"/>
    </row>
    <row r="19" spans="1:9" s="11" customFormat="1" ht="30" customHeight="1" x14ac:dyDescent="0.25">
      <c r="A19" s="226"/>
      <c r="B19" s="226"/>
      <c r="C19" s="226"/>
      <c r="D19" s="226"/>
      <c r="E19" s="226"/>
      <c r="F19" s="226"/>
      <c r="G19" s="20"/>
      <c r="H19" s="13"/>
    </row>
    <row r="20" spans="1:9" s="11" customFormat="1" ht="50.25" customHeight="1" x14ac:dyDescent="0.25">
      <c r="A20" s="226"/>
      <c r="B20" s="226"/>
      <c r="C20" s="226"/>
      <c r="D20" s="226"/>
      <c r="E20" s="226"/>
      <c r="F20" s="226"/>
      <c r="G20" s="20"/>
      <c r="H20" s="13"/>
    </row>
    <row r="21" spans="1:9" s="11" customFormat="1" ht="30" customHeight="1" x14ac:dyDescent="0.25">
      <c r="A21" s="18" t="s">
        <v>147</v>
      </c>
      <c r="B21" s="19"/>
      <c r="C21" s="19"/>
      <c r="D21" s="19"/>
      <c r="E21" s="19"/>
      <c r="F21" s="2"/>
      <c r="G21" s="93"/>
    </row>
    <row r="22" spans="1:9" s="11" customFormat="1" ht="30" customHeight="1" x14ac:dyDescent="0.25">
      <c r="A22" s="18" t="s">
        <v>195</v>
      </c>
      <c r="B22" s="19"/>
      <c r="C22" s="19"/>
      <c r="D22" s="19"/>
      <c r="E22" s="19"/>
      <c r="F22" s="1"/>
      <c r="G22" s="91"/>
    </row>
    <row r="23" spans="1:9" ht="30" customHeight="1" thickBot="1" x14ac:dyDescent="0.3">
      <c r="A23" s="21"/>
      <c r="B23" s="22"/>
      <c r="C23" s="22"/>
      <c r="D23" s="22"/>
      <c r="E23" s="19"/>
    </row>
    <row r="24" spans="1:9" s="11" customFormat="1" ht="37.5" customHeight="1" thickBot="1" x14ac:dyDescent="0.3">
      <c r="A24" s="208" t="s">
        <v>2</v>
      </c>
      <c r="B24" s="210"/>
      <c r="C24" s="23" t="s">
        <v>3</v>
      </c>
      <c r="D24" s="23" t="s">
        <v>4</v>
      </c>
      <c r="E24" s="208" t="s">
        <v>5</v>
      </c>
      <c r="F24" s="210"/>
      <c r="G24" s="91"/>
    </row>
    <row r="25" spans="1:9" s="27" customFormat="1" ht="138" customHeight="1" thickBot="1" x14ac:dyDescent="0.3">
      <c r="A25" s="216" t="s">
        <v>97</v>
      </c>
      <c r="B25" s="217"/>
      <c r="C25" s="94">
        <v>44876</v>
      </c>
      <c r="D25" s="94">
        <v>45838</v>
      </c>
      <c r="E25" s="223">
        <v>600654</v>
      </c>
      <c r="F25" s="224"/>
      <c r="G25" s="95"/>
    </row>
    <row r="26" spans="1:9" s="27" customFormat="1" ht="138" customHeight="1" thickBot="1" x14ac:dyDescent="0.3">
      <c r="A26" s="216" t="s">
        <v>98</v>
      </c>
      <c r="B26" s="217"/>
      <c r="C26" s="94">
        <v>44923</v>
      </c>
      <c r="D26" s="94">
        <v>45838</v>
      </c>
      <c r="E26" s="223">
        <v>1356612.88</v>
      </c>
      <c r="F26" s="224"/>
      <c r="G26" s="95"/>
    </row>
    <row r="27" spans="1:9" s="27" customFormat="1" ht="169.5" customHeight="1" thickBot="1" x14ac:dyDescent="0.3">
      <c r="A27" s="216" t="s">
        <v>109</v>
      </c>
      <c r="B27" s="217"/>
      <c r="C27" s="94">
        <v>45658</v>
      </c>
      <c r="D27" s="94">
        <v>45838</v>
      </c>
      <c r="E27" s="218">
        <v>600000</v>
      </c>
      <c r="F27" s="219"/>
      <c r="G27" s="95"/>
    </row>
    <row r="28" spans="1:9" s="27" customFormat="1" ht="187.5" customHeight="1" thickBot="1" x14ac:dyDescent="0.3">
      <c r="A28" s="216" t="s">
        <v>103</v>
      </c>
      <c r="B28" s="217"/>
      <c r="C28" s="94">
        <v>45658</v>
      </c>
      <c r="D28" s="94">
        <v>45838</v>
      </c>
      <c r="E28" s="218">
        <v>46042428</v>
      </c>
      <c r="F28" s="219"/>
      <c r="G28" s="95">
        <f>E28/6</f>
        <v>7673738</v>
      </c>
    </row>
    <row r="29" spans="1:9" s="27" customFormat="1" ht="234" customHeight="1" thickBot="1" x14ac:dyDescent="0.3">
      <c r="A29" s="221" t="s">
        <v>155</v>
      </c>
      <c r="B29" s="222"/>
      <c r="C29" s="94">
        <v>45839</v>
      </c>
      <c r="D29" s="94">
        <v>46203</v>
      </c>
      <c r="E29" s="218">
        <v>92084856</v>
      </c>
      <c r="F29" s="219"/>
      <c r="G29" s="24"/>
      <c r="H29" s="25"/>
      <c r="I29" s="26"/>
    </row>
    <row r="30" spans="1:9" s="27" customFormat="1" ht="189" customHeight="1" thickBot="1" x14ac:dyDescent="0.3">
      <c r="A30" s="216" t="s">
        <v>162</v>
      </c>
      <c r="B30" s="217"/>
      <c r="C30" s="94">
        <v>45869</v>
      </c>
      <c r="D30" s="94">
        <v>46203</v>
      </c>
      <c r="E30" s="218">
        <v>1150000</v>
      </c>
      <c r="F30" s="219"/>
      <c r="G30" s="95"/>
    </row>
    <row r="31" spans="1:9" s="27" customFormat="1" ht="189" customHeight="1" thickBot="1" x14ac:dyDescent="0.3">
      <c r="A31" s="216" t="s">
        <v>198</v>
      </c>
      <c r="B31" s="217"/>
      <c r="C31" s="94">
        <v>46020</v>
      </c>
      <c r="D31" s="94">
        <v>46203</v>
      </c>
      <c r="E31" s="218">
        <v>100000</v>
      </c>
      <c r="F31" s="219"/>
      <c r="G31" s="95"/>
    </row>
    <row r="32" spans="1:9" s="11" customFormat="1" ht="60" customHeight="1" thickBot="1" x14ac:dyDescent="0.3">
      <c r="A32" s="208" t="s">
        <v>6</v>
      </c>
      <c r="B32" s="209"/>
      <c r="C32" s="209"/>
      <c r="D32" s="209"/>
      <c r="E32" s="209"/>
      <c r="F32" s="210"/>
      <c r="G32" s="91"/>
    </row>
    <row r="33" spans="1:7" s="11" customFormat="1" ht="101.25" customHeight="1" thickBot="1" x14ac:dyDescent="0.3">
      <c r="A33" s="28" t="s">
        <v>82</v>
      </c>
      <c r="B33" s="28" t="s">
        <v>7</v>
      </c>
      <c r="C33" s="23" t="s">
        <v>8</v>
      </c>
      <c r="D33" s="28" t="s">
        <v>9</v>
      </c>
      <c r="E33" s="220" t="s">
        <v>10</v>
      </c>
      <c r="F33" s="220"/>
      <c r="G33" s="91"/>
    </row>
    <row r="34" spans="1:7" s="11" customFormat="1" ht="28.5" thickBot="1" x14ac:dyDescent="0.3">
      <c r="A34" s="227" t="s">
        <v>104</v>
      </c>
      <c r="B34" s="229">
        <v>600000</v>
      </c>
      <c r="C34" s="164" t="s">
        <v>106</v>
      </c>
      <c r="D34" s="182" t="s">
        <v>107</v>
      </c>
      <c r="E34" s="190">
        <v>300000</v>
      </c>
      <c r="F34" s="191"/>
      <c r="G34" s="91"/>
    </row>
    <row r="35" spans="1:7" s="11" customFormat="1" ht="28.5" thickBot="1" x14ac:dyDescent="0.3">
      <c r="A35" s="231"/>
      <c r="B35" s="230"/>
      <c r="C35" s="164" t="s">
        <v>106</v>
      </c>
      <c r="D35" s="182" t="s">
        <v>108</v>
      </c>
      <c r="E35" s="190">
        <v>300000</v>
      </c>
      <c r="F35" s="191"/>
      <c r="G35" s="91"/>
    </row>
    <row r="36" spans="1:7" s="11" customFormat="1" ht="47.25" customHeight="1" thickBot="1" x14ac:dyDescent="0.3">
      <c r="A36" s="228"/>
      <c r="B36" s="96">
        <v>7673738</v>
      </c>
      <c r="C36" s="97">
        <v>45665</v>
      </c>
      <c r="D36" s="98" t="s">
        <v>105</v>
      </c>
      <c r="E36" s="188">
        <f>B36</f>
        <v>7673738</v>
      </c>
      <c r="F36" s="189"/>
      <c r="G36" s="60"/>
    </row>
    <row r="37" spans="1:7" s="11" customFormat="1" ht="47.25" customHeight="1" thickBot="1" x14ac:dyDescent="0.3">
      <c r="A37" s="164" t="s">
        <v>115</v>
      </c>
      <c r="B37" s="165">
        <v>7673738</v>
      </c>
      <c r="C37" s="97">
        <v>45694</v>
      </c>
      <c r="D37" s="98" t="s">
        <v>116</v>
      </c>
      <c r="E37" s="188">
        <f>B37</f>
        <v>7673738</v>
      </c>
      <c r="F37" s="189"/>
      <c r="G37" s="60"/>
    </row>
    <row r="38" spans="1:7" s="11" customFormat="1" ht="47.25" customHeight="1" thickBot="1" x14ac:dyDescent="0.3">
      <c r="A38" s="164" t="s">
        <v>123</v>
      </c>
      <c r="B38" s="166">
        <v>7673738</v>
      </c>
      <c r="C38" s="97">
        <v>45722</v>
      </c>
      <c r="D38" s="98" t="s">
        <v>124</v>
      </c>
      <c r="E38" s="188">
        <v>7673738</v>
      </c>
      <c r="F38" s="189"/>
      <c r="G38" s="60"/>
    </row>
    <row r="39" spans="1:7" s="11" customFormat="1" ht="47.25" customHeight="1" thickBot="1" x14ac:dyDescent="0.3">
      <c r="A39" s="164" t="s">
        <v>132</v>
      </c>
      <c r="B39" s="167">
        <v>7673738</v>
      </c>
      <c r="C39" s="97">
        <v>45751</v>
      </c>
      <c r="D39" s="98" t="s">
        <v>124</v>
      </c>
      <c r="E39" s="188">
        <v>7673738</v>
      </c>
      <c r="F39" s="189"/>
      <c r="G39" s="60"/>
    </row>
    <row r="40" spans="1:7" s="11" customFormat="1" ht="47.25" customHeight="1" thickBot="1" x14ac:dyDescent="0.3">
      <c r="A40" s="164" t="s">
        <v>136</v>
      </c>
      <c r="B40" s="173">
        <v>7673738</v>
      </c>
      <c r="C40" s="97">
        <v>45784</v>
      </c>
      <c r="D40" s="98" t="s">
        <v>137</v>
      </c>
      <c r="E40" s="188">
        <v>7673738</v>
      </c>
      <c r="F40" s="189"/>
      <c r="G40" s="60"/>
    </row>
    <row r="41" spans="1:7" s="11" customFormat="1" ht="47.25" customHeight="1" thickBot="1" x14ac:dyDescent="0.3">
      <c r="A41" s="164" t="s">
        <v>145</v>
      </c>
      <c r="B41" s="174">
        <v>7673738</v>
      </c>
      <c r="C41" s="97">
        <v>45814</v>
      </c>
      <c r="D41" s="98" t="s">
        <v>146</v>
      </c>
      <c r="E41" s="188">
        <v>7673738</v>
      </c>
      <c r="F41" s="189"/>
      <c r="G41" s="60"/>
    </row>
    <row r="42" spans="1:7" s="11" customFormat="1" ht="47.25" customHeight="1" thickBot="1" x14ac:dyDescent="0.3">
      <c r="A42" s="164" t="s">
        <v>152</v>
      </c>
      <c r="B42" s="175">
        <v>7673738</v>
      </c>
      <c r="C42" s="97">
        <v>45842</v>
      </c>
      <c r="D42" s="98" t="s">
        <v>153</v>
      </c>
      <c r="E42" s="188">
        <v>7673738</v>
      </c>
      <c r="F42" s="189"/>
      <c r="G42" s="60"/>
    </row>
    <row r="43" spans="1:7" s="11" customFormat="1" ht="55.5" customHeight="1" thickBot="1" x14ac:dyDescent="0.3">
      <c r="A43" s="192" t="s">
        <v>160</v>
      </c>
      <c r="B43" s="183">
        <v>1150000</v>
      </c>
      <c r="C43" s="164" t="s">
        <v>163</v>
      </c>
      <c r="D43" s="182" t="s">
        <v>153</v>
      </c>
      <c r="E43" s="190">
        <v>1150000</v>
      </c>
      <c r="F43" s="191"/>
      <c r="G43" s="91"/>
    </row>
    <row r="44" spans="1:7" s="11" customFormat="1" ht="47.25" customHeight="1" thickBot="1" x14ac:dyDescent="0.3">
      <c r="A44" s="193"/>
      <c r="B44" s="177">
        <v>7673738</v>
      </c>
      <c r="C44" s="97">
        <v>45875</v>
      </c>
      <c r="D44" s="98" t="s">
        <v>161</v>
      </c>
      <c r="E44" s="188">
        <v>7673738</v>
      </c>
      <c r="F44" s="189"/>
      <c r="G44" s="60"/>
    </row>
    <row r="45" spans="1:7" s="11" customFormat="1" ht="47.25" customHeight="1" thickBot="1" x14ac:dyDescent="0.3">
      <c r="A45" s="164" t="s">
        <v>168</v>
      </c>
      <c r="B45" s="178">
        <v>7673738</v>
      </c>
      <c r="C45" s="97">
        <v>45905</v>
      </c>
      <c r="D45" s="98" t="s">
        <v>169</v>
      </c>
      <c r="E45" s="188">
        <v>7673738</v>
      </c>
      <c r="F45" s="189"/>
      <c r="G45" s="60"/>
    </row>
    <row r="46" spans="1:7" s="11" customFormat="1" ht="47.25" customHeight="1" thickBot="1" x14ac:dyDescent="0.3">
      <c r="A46" s="164" t="s">
        <v>175</v>
      </c>
      <c r="B46" s="179">
        <v>7673738</v>
      </c>
      <c r="C46" s="97">
        <v>45967</v>
      </c>
      <c r="D46" s="98" t="s">
        <v>176</v>
      </c>
      <c r="E46" s="188">
        <f>7673738</f>
        <v>7673738</v>
      </c>
      <c r="F46" s="189"/>
      <c r="G46" s="60"/>
    </row>
    <row r="47" spans="1:7" s="11" customFormat="1" ht="47.25" customHeight="1" thickBot="1" x14ac:dyDescent="0.3">
      <c r="A47" s="164" t="s">
        <v>183</v>
      </c>
      <c r="B47" s="180">
        <v>7673738</v>
      </c>
      <c r="C47" s="97">
        <v>45967</v>
      </c>
      <c r="D47" s="98" t="s">
        <v>184</v>
      </c>
      <c r="E47" s="188">
        <v>7673738</v>
      </c>
      <c r="F47" s="189"/>
      <c r="G47" s="60"/>
    </row>
    <row r="48" spans="1:7" s="11" customFormat="1" ht="47.25" customHeight="1" thickBot="1" x14ac:dyDescent="0.3">
      <c r="A48" s="227" t="s">
        <v>187</v>
      </c>
      <c r="B48" s="181">
        <v>7673738</v>
      </c>
      <c r="C48" s="97">
        <v>45996</v>
      </c>
      <c r="D48" s="98" t="s">
        <v>188</v>
      </c>
      <c r="E48" s="188">
        <f>7673738</f>
        <v>7673738</v>
      </c>
      <c r="F48" s="189"/>
      <c r="G48" s="60"/>
    </row>
    <row r="49" spans="1:8" s="11" customFormat="1" ht="55.5" customHeight="1" thickBot="1" x14ac:dyDescent="0.3">
      <c r="A49" s="228"/>
      <c r="B49" s="183">
        <v>100000</v>
      </c>
      <c r="C49" s="164" t="s">
        <v>189</v>
      </c>
      <c r="D49" s="182" t="s">
        <v>190</v>
      </c>
      <c r="E49" s="190">
        <v>100000</v>
      </c>
      <c r="F49" s="191"/>
      <c r="G49" s="91"/>
    </row>
    <row r="50" spans="1:8" s="11" customFormat="1" ht="38.1" customHeight="1" thickBot="1" x14ac:dyDescent="0.3">
      <c r="A50" s="184" t="s">
        <v>83</v>
      </c>
      <c r="B50" s="184"/>
      <c r="C50" s="184"/>
      <c r="D50" s="184"/>
      <c r="E50" s="185">
        <f>5490843.31+39713.16+102359.5</f>
        <v>5632915.9699999997</v>
      </c>
      <c r="F50" s="186"/>
      <c r="G50" s="99"/>
      <c r="H50" s="100"/>
    </row>
    <row r="51" spans="1:8" s="11" customFormat="1" ht="37.5" customHeight="1" thickBot="1" x14ac:dyDescent="0.3">
      <c r="A51" s="184" t="s">
        <v>84</v>
      </c>
      <c r="B51" s="184"/>
      <c r="C51" s="184"/>
      <c r="D51" s="184"/>
      <c r="E51" s="187">
        <f>SUM(E34:F49)</f>
        <v>93934856</v>
      </c>
      <c r="F51" s="187"/>
      <c r="G51" s="101"/>
    </row>
    <row r="52" spans="1:8" s="11" customFormat="1" ht="37.5" customHeight="1" thickBot="1" x14ac:dyDescent="0.3">
      <c r="A52" s="195" t="s">
        <v>11</v>
      </c>
      <c r="B52" s="196"/>
      <c r="C52" s="196"/>
      <c r="D52" s="197"/>
      <c r="E52" s="187">
        <f>54491.03+60533.4+58150.99+77124.29+81938.85+86069.08+99109.26+66250.23+26868.52+98880.24+109409.93+96181.86+89891.03+5135.88+13237.57+15398.57+51139.99</f>
        <v>1089810.72</v>
      </c>
      <c r="F52" s="187"/>
      <c r="G52" s="101">
        <f>54491.03+57845.18+2688.22+52390.23+5760.76+65766.52+11357.77+67311.04+14627.81+66252.38+19816.7+75968.78+23140.48+66250.23+26868.52+68489.65+30390.59+75488.08+33921.85+59240.52+36941.34+70445.82+19445.21</f>
        <v>1004898.71</v>
      </c>
      <c r="H52" s="32">
        <f>G52-E52</f>
        <v>-84912.010000000009</v>
      </c>
    </row>
    <row r="53" spans="1:8" s="11" customFormat="1" ht="38.1" customHeight="1" thickBot="1" x14ac:dyDescent="0.3">
      <c r="A53" s="184" t="s">
        <v>12</v>
      </c>
      <c r="B53" s="184"/>
      <c r="C53" s="184"/>
      <c r="D53" s="184"/>
      <c r="E53" s="187">
        <f>163343.16+2800.66</f>
        <v>166143.82</v>
      </c>
      <c r="F53" s="187"/>
      <c r="G53" s="91"/>
    </row>
    <row r="54" spans="1:8" s="11" customFormat="1" ht="38.1" customHeight="1" thickBot="1" x14ac:dyDescent="0.3">
      <c r="A54" s="184" t="s">
        <v>13</v>
      </c>
      <c r="B54" s="184"/>
      <c r="C54" s="184"/>
      <c r="D54" s="184"/>
      <c r="E54" s="198">
        <f>SUM(E50:F53)</f>
        <v>100823726.50999999</v>
      </c>
      <c r="F54" s="198"/>
      <c r="G54" s="91"/>
    </row>
    <row r="55" spans="1:8" s="11" customFormat="1" ht="38.1" customHeight="1" thickBot="1" x14ac:dyDescent="0.3">
      <c r="A55" s="199"/>
      <c r="B55" s="199"/>
      <c r="C55" s="199"/>
      <c r="D55" s="199"/>
      <c r="E55" s="199"/>
      <c r="F55" s="199"/>
      <c r="G55" s="91"/>
    </row>
    <row r="56" spans="1:8" s="11" customFormat="1" ht="38.1" customHeight="1" thickBot="1" x14ac:dyDescent="0.3">
      <c r="A56" s="184" t="s">
        <v>14</v>
      </c>
      <c r="B56" s="184"/>
      <c r="C56" s="184"/>
      <c r="D56" s="184"/>
      <c r="E56" s="187">
        <v>0</v>
      </c>
      <c r="F56" s="187"/>
      <c r="G56" s="91"/>
    </row>
    <row r="57" spans="1:8" s="11" customFormat="1" ht="38.1" customHeight="1" thickBot="1" x14ac:dyDescent="0.3">
      <c r="A57" s="184" t="s">
        <v>15</v>
      </c>
      <c r="B57" s="184"/>
      <c r="C57" s="184"/>
      <c r="D57" s="184"/>
      <c r="E57" s="200">
        <f>E54+E56</f>
        <v>100823726.50999999</v>
      </c>
      <c r="F57" s="200"/>
      <c r="G57" s="91"/>
    </row>
    <row r="58" spans="1:8" ht="30" customHeight="1" x14ac:dyDescent="0.25">
      <c r="A58" s="34" t="s">
        <v>16</v>
      </c>
      <c r="B58" s="35"/>
      <c r="C58" s="35"/>
      <c r="D58" s="35"/>
      <c r="E58" s="36"/>
    </row>
    <row r="59" spans="1:8" ht="30" customHeight="1" x14ac:dyDescent="0.25">
      <c r="A59" s="34" t="s">
        <v>17</v>
      </c>
      <c r="B59" s="35"/>
      <c r="C59" s="35"/>
      <c r="D59" s="37"/>
    </row>
    <row r="60" spans="1:8" ht="30" customHeight="1" x14ac:dyDescent="0.25">
      <c r="A60" s="194" t="s">
        <v>85</v>
      </c>
      <c r="B60" s="194"/>
      <c r="C60" s="194"/>
      <c r="D60" s="102"/>
    </row>
    <row r="61" spans="1:8" ht="30" customHeight="1" x14ac:dyDescent="0.25">
      <c r="A61" s="38"/>
      <c r="B61" s="37"/>
      <c r="C61" s="37"/>
      <c r="D61" s="37"/>
      <c r="F61" s="11"/>
    </row>
    <row r="62" spans="1:8" ht="30" customHeight="1" x14ac:dyDescent="0.25">
      <c r="A62" s="39"/>
      <c r="B62" s="39"/>
      <c r="C62" s="39"/>
      <c r="D62" s="39"/>
      <c r="E62" s="39"/>
      <c r="F62" s="39"/>
    </row>
    <row r="63" spans="1:8" ht="30" customHeight="1" x14ac:dyDescent="0.25">
      <c r="A63" s="39"/>
      <c r="B63" s="39"/>
      <c r="C63" s="39"/>
      <c r="D63" s="39"/>
      <c r="E63" s="39"/>
      <c r="F63" s="39"/>
    </row>
    <row r="64" spans="1:8" ht="30" customHeight="1" x14ac:dyDescent="0.25">
      <c r="A64" s="39"/>
      <c r="B64" s="39"/>
      <c r="C64" s="39"/>
      <c r="D64" s="39"/>
      <c r="E64" s="39"/>
      <c r="F64" s="39"/>
    </row>
    <row r="65" spans="1:7" ht="30" customHeight="1" x14ac:dyDescent="0.25">
      <c r="A65" s="39"/>
      <c r="B65" s="39"/>
      <c r="C65" s="39"/>
      <c r="D65" s="39"/>
      <c r="E65" s="39"/>
      <c r="F65" s="39"/>
    </row>
    <row r="66" spans="1:7" ht="30" customHeight="1" x14ac:dyDescent="0.25">
      <c r="A66" s="39"/>
      <c r="B66" s="39"/>
      <c r="C66" s="39"/>
      <c r="D66" s="39"/>
      <c r="E66" s="39"/>
      <c r="F66" s="39"/>
    </row>
    <row r="67" spans="1:7" ht="30" customHeight="1" x14ac:dyDescent="0.25">
      <c r="A67" s="39"/>
      <c r="B67" s="39"/>
      <c r="C67" s="39"/>
      <c r="D67" s="39"/>
      <c r="E67" s="39"/>
      <c r="F67" s="39"/>
    </row>
    <row r="68" spans="1:7" ht="30" customHeight="1" x14ac:dyDescent="0.25">
      <c r="A68" s="203" t="s">
        <v>197</v>
      </c>
      <c r="B68" s="203"/>
      <c r="C68" s="203"/>
      <c r="D68" s="203"/>
      <c r="E68" s="203"/>
      <c r="F68" s="203"/>
    </row>
    <row r="69" spans="1:7" ht="30" customHeight="1" x14ac:dyDescent="0.25">
      <c r="A69" s="203"/>
      <c r="B69" s="203"/>
      <c r="C69" s="203"/>
      <c r="D69" s="203"/>
      <c r="E69" s="203"/>
      <c r="F69" s="203"/>
    </row>
    <row r="70" spans="1:7" ht="30" customHeight="1" x14ac:dyDescent="0.25">
      <c r="A70" s="39"/>
      <c r="B70" s="39"/>
      <c r="C70" s="39"/>
      <c r="D70" s="39"/>
      <c r="E70" s="39"/>
      <c r="F70" s="39"/>
    </row>
    <row r="71" spans="1:7" ht="30" customHeight="1" x14ac:dyDescent="0.25">
      <c r="A71" s="39"/>
      <c r="B71" s="39"/>
      <c r="C71" s="39"/>
      <c r="D71" s="39"/>
      <c r="E71" s="39"/>
      <c r="F71" s="39"/>
    </row>
    <row r="72" spans="1:7" ht="30" customHeight="1" x14ac:dyDescent="0.25">
      <c r="A72" s="39"/>
      <c r="B72" s="39"/>
      <c r="C72" s="39"/>
      <c r="D72" s="39"/>
      <c r="E72" s="39"/>
      <c r="F72" s="39"/>
    </row>
    <row r="73" spans="1:7" ht="30" customHeight="1" thickBot="1" x14ac:dyDescent="0.3">
      <c r="A73" s="39"/>
      <c r="B73" s="39"/>
      <c r="C73" s="39"/>
      <c r="D73" s="39"/>
      <c r="E73" s="39"/>
      <c r="F73" s="39"/>
    </row>
    <row r="74" spans="1:7" s="11" customFormat="1" ht="37.5" customHeight="1" thickBot="1" x14ac:dyDescent="0.3">
      <c r="A74" s="204" t="s">
        <v>18</v>
      </c>
      <c r="B74" s="205"/>
      <c r="C74" s="205"/>
      <c r="D74" s="205"/>
      <c r="E74" s="205"/>
      <c r="F74" s="206"/>
      <c r="G74" s="91"/>
    </row>
    <row r="75" spans="1:7" s="11" customFormat="1" ht="37.5" customHeight="1" thickBot="1" x14ac:dyDescent="0.3">
      <c r="A75" s="40" t="s">
        <v>94</v>
      </c>
      <c r="B75" s="41"/>
      <c r="C75" s="41"/>
      <c r="D75" s="41"/>
      <c r="E75" s="41"/>
      <c r="F75" s="3"/>
      <c r="G75" s="91"/>
    </row>
    <row r="76" spans="1:7" s="11" customFormat="1" ht="33" customHeight="1" x14ac:dyDescent="0.25">
      <c r="A76" s="42"/>
      <c r="B76" s="43"/>
      <c r="C76" s="44" t="s">
        <v>19</v>
      </c>
      <c r="D76" s="44" t="s">
        <v>19</v>
      </c>
      <c r="E76" s="44" t="s">
        <v>20</v>
      </c>
      <c r="F76" s="44" t="s">
        <v>19</v>
      </c>
      <c r="G76" s="91"/>
    </row>
    <row r="77" spans="1:7" s="11" customFormat="1" ht="33" customHeight="1" x14ac:dyDescent="0.25">
      <c r="A77" s="44" t="s">
        <v>21</v>
      </c>
      <c r="B77" s="45" t="s">
        <v>19</v>
      </c>
      <c r="C77" s="44" t="s">
        <v>22</v>
      </c>
      <c r="D77" s="44" t="s">
        <v>22</v>
      </c>
      <c r="E77" s="44" t="s">
        <v>19</v>
      </c>
      <c r="F77" s="44" t="s">
        <v>22</v>
      </c>
      <c r="G77" s="91"/>
    </row>
    <row r="78" spans="1:7" s="11" customFormat="1" ht="33" customHeight="1" x14ac:dyDescent="0.25">
      <c r="A78" s="44" t="s">
        <v>23</v>
      </c>
      <c r="B78" s="45" t="s">
        <v>22</v>
      </c>
      <c r="C78" s="44" t="s">
        <v>24</v>
      </c>
      <c r="D78" s="44" t="s">
        <v>25</v>
      </c>
      <c r="E78" s="44" t="s">
        <v>26</v>
      </c>
      <c r="F78" s="44" t="s">
        <v>27</v>
      </c>
      <c r="G78" s="91"/>
    </row>
    <row r="79" spans="1:7" s="11" customFormat="1" ht="33" customHeight="1" x14ac:dyDescent="0.25">
      <c r="A79" s="44" t="s">
        <v>28</v>
      </c>
      <c r="B79" s="45" t="s">
        <v>29</v>
      </c>
      <c r="C79" s="44" t="s">
        <v>30</v>
      </c>
      <c r="D79" s="44" t="s">
        <v>31</v>
      </c>
      <c r="E79" s="44" t="s">
        <v>29</v>
      </c>
      <c r="F79" s="44" t="s">
        <v>32</v>
      </c>
      <c r="G79" s="91"/>
    </row>
    <row r="80" spans="1:7" s="11" customFormat="1" ht="33" customHeight="1" x14ac:dyDescent="0.25">
      <c r="A80" s="42"/>
      <c r="B80" s="45" t="s">
        <v>33</v>
      </c>
      <c r="C80" s="44" t="s">
        <v>34</v>
      </c>
      <c r="D80" s="44" t="s">
        <v>33</v>
      </c>
      <c r="E80" s="44" t="s">
        <v>35</v>
      </c>
      <c r="F80" s="44" t="s">
        <v>36</v>
      </c>
      <c r="G80" s="91"/>
    </row>
    <row r="81" spans="1:9" s="11" customFormat="1" ht="33" customHeight="1" x14ac:dyDescent="0.25">
      <c r="A81" s="42"/>
      <c r="B81" s="46"/>
      <c r="C81" s="44" t="s">
        <v>33</v>
      </c>
      <c r="D81" s="44" t="s">
        <v>37</v>
      </c>
      <c r="E81" s="44" t="s">
        <v>38</v>
      </c>
      <c r="F81" s="44" t="s">
        <v>39</v>
      </c>
      <c r="G81" s="91"/>
    </row>
    <row r="82" spans="1:9" s="11" customFormat="1" ht="33" customHeight="1" thickBot="1" x14ac:dyDescent="0.3">
      <c r="A82" s="47"/>
      <c r="B82" s="48"/>
      <c r="C82" s="49" t="s">
        <v>40</v>
      </c>
      <c r="D82" s="50"/>
      <c r="E82" s="51" t="s">
        <v>41</v>
      </c>
      <c r="F82" s="50"/>
      <c r="G82" s="160" t="s">
        <v>99</v>
      </c>
    </row>
    <row r="83" spans="1:9" s="11" customFormat="1" ht="47.25" customHeight="1" thickBot="1" x14ac:dyDescent="0.3">
      <c r="A83" s="52" t="s">
        <v>42</v>
      </c>
      <c r="B83" s="53">
        <f t="shared" ref="B83:B98" si="0">D83+F83</f>
        <v>89698741.280000001</v>
      </c>
      <c r="C83" s="54">
        <f>5997411.57</f>
        <v>5997411.5700000003</v>
      </c>
      <c r="D83" s="54">
        <f>1477814.56+7242406.38+6744315.32+6676729.23+6735436.7+6648217.95+7549989.22+7233758.48+6533426.45+7229132.25+9668321.23+10000132.83</f>
        <v>83739680.600000009</v>
      </c>
      <c r="E83" s="54">
        <f t="shared" ref="E83:E98" si="1">C83+D83</f>
        <v>89737092.170000017</v>
      </c>
      <c r="F83" s="55">
        <f>5959060.68</f>
        <v>5959060.6799999997</v>
      </c>
      <c r="G83" s="60">
        <v>5997411.5700000003</v>
      </c>
      <c r="H83" s="158">
        <f>G83-C83</f>
        <v>0</v>
      </c>
      <c r="I83" s="32"/>
    </row>
    <row r="84" spans="1:9" s="11" customFormat="1" ht="47.25" customHeight="1" thickBot="1" x14ac:dyDescent="0.3">
      <c r="A84" s="52" t="s">
        <v>43</v>
      </c>
      <c r="B84" s="53">
        <f t="shared" si="0"/>
        <v>0</v>
      </c>
      <c r="C84" s="54">
        <v>0</v>
      </c>
      <c r="D84" s="54">
        <v>0</v>
      </c>
      <c r="E84" s="54">
        <f t="shared" si="1"/>
        <v>0</v>
      </c>
      <c r="F84" s="55">
        <v>0</v>
      </c>
      <c r="G84" s="60">
        <v>0</v>
      </c>
      <c r="H84" s="158">
        <f t="shared" ref="H84:H99" si="2">G84-C84</f>
        <v>0</v>
      </c>
      <c r="I84" s="32"/>
    </row>
    <row r="85" spans="1:9" s="11" customFormat="1" ht="47.25" customHeight="1" thickBot="1" x14ac:dyDescent="0.3">
      <c r="A85" s="52" t="s">
        <v>44</v>
      </c>
      <c r="B85" s="53">
        <f t="shared" si="0"/>
        <v>300050.76</v>
      </c>
      <c r="C85" s="54">
        <v>0</v>
      </c>
      <c r="D85" s="54">
        <f>300050.76</f>
        <v>300050.76</v>
      </c>
      <c r="E85" s="54">
        <f t="shared" si="1"/>
        <v>300050.76</v>
      </c>
      <c r="F85" s="55">
        <v>0</v>
      </c>
      <c r="G85" s="60">
        <v>0</v>
      </c>
      <c r="H85" s="158">
        <f t="shared" si="2"/>
        <v>0</v>
      </c>
      <c r="I85" s="32"/>
    </row>
    <row r="86" spans="1:9" s="11" customFormat="1" ht="53.25" customHeight="1" thickBot="1" x14ac:dyDescent="0.3">
      <c r="A86" s="56" t="s">
        <v>45</v>
      </c>
      <c r="B86" s="53">
        <f t="shared" si="0"/>
        <v>322709.51</v>
      </c>
      <c r="C86" s="54">
        <v>0</v>
      </c>
      <c r="D86" s="54">
        <f>322709.51</f>
        <v>322709.51</v>
      </c>
      <c r="E86" s="54">
        <f t="shared" si="1"/>
        <v>322709.51</v>
      </c>
      <c r="F86" s="55">
        <v>0</v>
      </c>
      <c r="G86" s="60">
        <v>0</v>
      </c>
      <c r="H86" s="158">
        <f t="shared" si="2"/>
        <v>0</v>
      </c>
      <c r="I86" s="32"/>
    </row>
    <row r="87" spans="1:9" s="11" customFormat="1" ht="47.25" customHeight="1" thickBot="1" x14ac:dyDescent="0.3">
      <c r="A87" s="52" t="s">
        <v>46</v>
      </c>
      <c r="B87" s="53">
        <f t="shared" si="0"/>
        <v>0</v>
      </c>
      <c r="C87" s="54">
        <v>0</v>
      </c>
      <c r="D87" s="54">
        <v>0</v>
      </c>
      <c r="E87" s="54">
        <f t="shared" si="1"/>
        <v>0</v>
      </c>
      <c r="F87" s="55">
        <v>0</v>
      </c>
      <c r="G87" s="60">
        <v>0</v>
      </c>
      <c r="H87" s="158">
        <f t="shared" si="2"/>
        <v>0</v>
      </c>
      <c r="I87" s="32"/>
    </row>
    <row r="88" spans="1:9" s="11" customFormat="1" ht="54" customHeight="1" thickBot="1" x14ac:dyDescent="0.3">
      <c r="A88" s="56" t="s">
        <v>47</v>
      </c>
      <c r="B88" s="53">
        <f t="shared" si="0"/>
        <v>10272.02</v>
      </c>
      <c r="C88" s="54">
        <v>0</v>
      </c>
      <c r="D88" s="54">
        <f>4329+5943.02</f>
        <v>10272.02</v>
      </c>
      <c r="E88" s="54">
        <f t="shared" si="1"/>
        <v>10272.02</v>
      </c>
      <c r="F88" s="55">
        <v>0</v>
      </c>
      <c r="G88" s="60">
        <v>0</v>
      </c>
      <c r="H88" s="158">
        <f t="shared" si="2"/>
        <v>0</v>
      </c>
      <c r="I88" s="32"/>
    </row>
    <row r="89" spans="1:9" s="11" customFormat="1" ht="47.25" customHeight="1" thickBot="1" x14ac:dyDescent="0.3">
      <c r="A89" s="52" t="s">
        <v>48</v>
      </c>
      <c r="B89" s="53">
        <f t="shared" si="0"/>
        <v>0</v>
      </c>
      <c r="C89" s="54">
        <v>0</v>
      </c>
      <c r="D89" s="54">
        <v>0</v>
      </c>
      <c r="E89" s="54">
        <f t="shared" si="1"/>
        <v>0</v>
      </c>
      <c r="F89" s="55">
        <v>0</v>
      </c>
      <c r="G89" s="60">
        <v>0</v>
      </c>
      <c r="H89" s="158">
        <f t="shared" si="2"/>
        <v>0</v>
      </c>
      <c r="I89" s="32"/>
    </row>
    <row r="90" spans="1:9" s="11" customFormat="1" ht="55.5" customHeight="1" thickBot="1" x14ac:dyDescent="0.3">
      <c r="A90" s="56" t="s">
        <v>49</v>
      </c>
      <c r="B90" s="53">
        <f t="shared" si="0"/>
        <v>551.5</v>
      </c>
      <c r="C90" s="54">
        <v>0</v>
      </c>
      <c r="D90" s="54">
        <f>551.5</f>
        <v>551.5</v>
      </c>
      <c r="E90" s="54">
        <f t="shared" si="1"/>
        <v>551.5</v>
      </c>
      <c r="F90" s="55">
        <v>0</v>
      </c>
      <c r="G90" s="60">
        <v>0</v>
      </c>
      <c r="H90" s="158">
        <f t="shared" si="2"/>
        <v>0</v>
      </c>
      <c r="I90" s="32"/>
    </row>
    <row r="91" spans="1:9" s="11" customFormat="1" ht="47.25" customHeight="1" thickBot="1" x14ac:dyDescent="0.3">
      <c r="A91" s="52" t="s">
        <v>50</v>
      </c>
      <c r="B91" s="53">
        <f t="shared" si="0"/>
        <v>0</v>
      </c>
      <c r="C91" s="54">
        <v>0</v>
      </c>
      <c r="D91" s="54">
        <v>0</v>
      </c>
      <c r="E91" s="54">
        <f t="shared" si="1"/>
        <v>0</v>
      </c>
      <c r="F91" s="55">
        <v>0</v>
      </c>
      <c r="G91" s="163">
        <v>0</v>
      </c>
      <c r="H91" s="158">
        <f t="shared" si="2"/>
        <v>0</v>
      </c>
      <c r="I91" s="32"/>
    </row>
    <row r="92" spans="1:9" s="11" customFormat="1" ht="47.25" customHeight="1" thickBot="1" x14ac:dyDescent="0.3">
      <c r="A92" s="52" t="s">
        <v>51</v>
      </c>
      <c r="B92" s="53">
        <f t="shared" si="0"/>
        <v>0</v>
      </c>
      <c r="C92" s="54">
        <v>0</v>
      </c>
      <c r="D92" s="54">
        <v>0</v>
      </c>
      <c r="E92" s="54">
        <f t="shared" si="1"/>
        <v>0</v>
      </c>
      <c r="F92" s="55">
        <v>0</v>
      </c>
      <c r="G92" s="60">
        <v>0</v>
      </c>
      <c r="H92" s="158">
        <f t="shared" si="2"/>
        <v>0</v>
      </c>
      <c r="I92" s="32"/>
    </row>
    <row r="93" spans="1:9" s="11" customFormat="1" ht="47.25" customHeight="1" thickBot="1" x14ac:dyDescent="0.3">
      <c r="A93" s="52" t="s">
        <v>52</v>
      </c>
      <c r="B93" s="53">
        <f t="shared" si="0"/>
        <v>2923080.6700000009</v>
      </c>
      <c r="C93" s="54">
        <v>0</v>
      </c>
      <c r="D93" s="54">
        <f>346672.86+317777.14+299761.36+287174.26+270704.28+391641.84+342713.24+373152.43+293483.26</f>
        <v>2923080.6700000009</v>
      </c>
      <c r="E93" s="54">
        <f t="shared" si="1"/>
        <v>2923080.6700000009</v>
      </c>
      <c r="F93" s="55"/>
      <c r="G93" s="163"/>
      <c r="H93" s="158">
        <f t="shared" si="2"/>
        <v>0</v>
      </c>
      <c r="I93" s="32"/>
    </row>
    <row r="94" spans="1:9" s="11" customFormat="1" ht="47.25" customHeight="1" thickBot="1" x14ac:dyDescent="0.3">
      <c r="A94" s="52" t="s">
        <v>53</v>
      </c>
      <c r="B94" s="53">
        <f t="shared" si="0"/>
        <v>0</v>
      </c>
      <c r="C94" s="54">
        <v>0</v>
      </c>
      <c r="D94" s="54">
        <v>0</v>
      </c>
      <c r="E94" s="54">
        <f t="shared" si="1"/>
        <v>0</v>
      </c>
      <c r="F94" s="55">
        <v>0</v>
      </c>
      <c r="G94" s="60">
        <v>0</v>
      </c>
      <c r="H94" s="158">
        <f t="shared" si="2"/>
        <v>0</v>
      </c>
      <c r="I94" s="32"/>
    </row>
    <row r="95" spans="1:9" s="11" customFormat="1" ht="54" customHeight="1" thickBot="1" x14ac:dyDescent="0.3">
      <c r="A95" s="56" t="s">
        <v>54</v>
      </c>
      <c r="B95" s="53">
        <f t="shared" si="0"/>
        <v>1149000</v>
      </c>
      <c r="C95" s="54">
        <v>0</v>
      </c>
      <c r="D95" s="54">
        <f>1149000</f>
        <v>1149000</v>
      </c>
      <c r="E95" s="54">
        <f t="shared" si="1"/>
        <v>1149000</v>
      </c>
      <c r="F95" s="55">
        <v>0</v>
      </c>
      <c r="G95" s="60">
        <v>0</v>
      </c>
      <c r="H95" s="158">
        <f t="shared" si="2"/>
        <v>0</v>
      </c>
      <c r="I95" s="32"/>
    </row>
    <row r="96" spans="1:9" s="11" customFormat="1" ht="47.25" customHeight="1" thickBot="1" x14ac:dyDescent="0.3">
      <c r="A96" s="52" t="s">
        <v>55</v>
      </c>
      <c r="B96" s="53">
        <f t="shared" si="0"/>
        <v>0</v>
      </c>
      <c r="C96" s="54">
        <v>0</v>
      </c>
      <c r="D96" s="54">
        <v>0</v>
      </c>
      <c r="E96" s="54">
        <f t="shared" si="1"/>
        <v>0</v>
      </c>
      <c r="F96" s="55">
        <v>0</v>
      </c>
      <c r="G96" s="60">
        <v>0</v>
      </c>
      <c r="H96" s="158">
        <f t="shared" si="2"/>
        <v>0</v>
      </c>
      <c r="I96" s="32"/>
    </row>
    <row r="97" spans="1:9" s="11" customFormat="1" ht="55.5" customHeight="1" thickBot="1" x14ac:dyDescent="0.3">
      <c r="A97" s="56" t="s">
        <v>56</v>
      </c>
      <c r="B97" s="53">
        <f t="shared" si="0"/>
        <v>2623.6</v>
      </c>
      <c r="C97" s="54">
        <v>0</v>
      </c>
      <c r="D97" s="54">
        <f>221.4+186.6+182+182+169+195+247+169+187.2+241.2+187.6+455.6</f>
        <v>2623.6</v>
      </c>
      <c r="E97" s="54">
        <f t="shared" si="1"/>
        <v>2623.6</v>
      </c>
      <c r="F97" s="55">
        <v>0</v>
      </c>
      <c r="G97" s="60">
        <v>0</v>
      </c>
      <c r="H97" s="158">
        <f t="shared" si="2"/>
        <v>0</v>
      </c>
      <c r="I97" s="32"/>
    </row>
    <row r="98" spans="1:9" s="11" customFormat="1" ht="47.25" customHeight="1" thickBot="1" x14ac:dyDescent="0.3">
      <c r="A98" s="52" t="s">
        <v>57</v>
      </c>
      <c r="B98" s="53">
        <f t="shared" si="0"/>
        <v>306135.76</v>
      </c>
      <c r="C98" s="54">
        <v>0</v>
      </c>
      <c r="D98" s="54">
        <f>142792.6+163343.16</f>
        <v>306135.76</v>
      </c>
      <c r="E98" s="54">
        <f t="shared" si="1"/>
        <v>306135.76</v>
      </c>
      <c r="F98" s="55">
        <v>0</v>
      </c>
      <c r="G98" s="60">
        <v>0</v>
      </c>
      <c r="H98" s="158">
        <f t="shared" si="2"/>
        <v>0</v>
      </c>
      <c r="I98" s="32"/>
    </row>
    <row r="99" spans="1:9" s="11" customFormat="1" ht="47.25" customHeight="1" thickBot="1" x14ac:dyDescent="0.3">
      <c r="A99" s="57" t="s">
        <v>0</v>
      </c>
      <c r="B99" s="58">
        <f t="shared" ref="B99:F99" si="3">SUM(B83:B98)</f>
        <v>94713165.100000009</v>
      </c>
      <c r="C99" s="58">
        <f t="shared" si="3"/>
        <v>5997411.5700000003</v>
      </c>
      <c r="D99" s="58">
        <f t="shared" si="3"/>
        <v>88754104.420000017</v>
      </c>
      <c r="E99" s="58">
        <f t="shared" si="3"/>
        <v>94751515.990000024</v>
      </c>
      <c r="F99" s="58">
        <f t="shared" si="3"/>
        <v>5959060.6799999997</v>
      </c>
      <c r="G99" s="91">
        <v>5997411.5700000003</v>
      </c>
      <c r="H99" s="158">
        <f t="shared" si="2"/>
        <v>0</v>
      </c>
      <c r="I99" s="32"/>
    </row>
    <row r="100" spans="1:9" ht="30" customHeight="1" x14ac:dyDescent="0.25">
      <c r="A100" s="34" t="s">
        <v>58</v>
      </c>
      <c r="B100" s="35"/>
      <c r="C100" s="35"/>
      <c r="D100" s="35"/>
      <c r="E100" s="59"/>
      <c r="H100" s="158"/>
    </row>
    <row r="101" spans="1:9" ht="30" customHeight="1" x14ac:dyDescent="0.25">
      <c r="A101" s="34" t="s">
        <v>59</v>
      </c>
      <c r="B101" s="35"/>
      <c r="C101" s="63"/>
      <c r="D101" s="4"/>
      <c r="H101" s="158"/>
    </row>
    <row r="102" spans="1:9" ht="30" customHeight="1" x14ac:dyDescent="0.25">
      <c r="A102" s="34" t="s">
        <v>60</v>
      </c>
      <c r="B102" s="35"/>
      <c r="C102" s="61"/>
      <c r="D102" s="61"/>
      <c r="E102" s="63"/>
      <c r="H102" s="158"/>
    </row>
    <row r="103" spans="1:9" ht="30" customHeight="1" x14ac:dyDescent="0.25">
      <c r="A103" s="34" t="s">
        <v>61</v>
      </c>
      <c r="B103" s="35"/>
      <c r="C103" s="35"/>
      <c r="D103" s="35"/>
      <c r="E103" s="59"/>
      <c r="H103" s="158"/>
    </row>
    <row r="104" spans="1:9" ht="30" customHeight="1" x14ac:dyDescent="0.25">
      <c r="A104" s="34" t="s">
        <v>62</v>
      </c>
      <c r="B104" s="35"/>
      <c r="C104" s="35"/>
      <c r="D104" s="35"/>
      <c r="E104" s="59"/>
      <c r="H104" s="158"/>
    </row>
    <row r="105" spans="1:9" ht="30" customHeight="1" x14ac:dyDescent="0.25">
      <c r="A105" s="34" t="s">
        <v>63</v>
      </c>
      <c r="B105" s="35"/>
      <c r="C105" s="35"/>
      <c r="D105" s="35"/>
      <c r="E105" s="59"/>
      <c r="H105" s="158"/>
    </row>
    <row r="106" spans="1:9" ht="30" customHeight="1" x14ac:dyDescent="0.25">
      <c r="A106" s="65" t="s">
        <v>64</v>
      </c>
      <c r="B106" s="65"/>
      <c r="C106" s="65"/>
      <c r="D106" s="66"/>
      <c r="E106" s="67"/>
      <c r="F106" s="11"/>
      <c r="H106" s="158"/>
    </row>
    <row r="107" spans="1:9" ht="30" customHeight="1" x14ac:dyDescent="0.25">
      <c r="A107" s="65" t="s">
        <v>65</v>
      </c>
      <c r="B107" s="65"/>
      <c r="C107" s="65"/>
      <c r="D107" s="68"/>
      <c r="E107" s="67"/>
      <c r="F107" s="11"/>
      <c r="H107" s="158"/>
    </row>
    <row r="108" spans="1:9" ht="30" customHeight="1" x14ac:dyDescent="0.25">
      <c r="A108" s="65" t="s">
        <v>66</v>
      </c>
      <c r="B108" s="65"/>
      <c r="C108" s="65"/>
      <c r="D108" s="65"/>
      <c r="E108" s="67"/>
      <c r="F108" s="11"/>
      <c r="H108" s="158"/>
    </row>
    <row r="109" spans="1:9" ht="30" customHeight="1" x14ac:dyDescent="0.25">
      <c r="A109" s="65" t="s">
        <v>67</v>
      </c>
      <c r="B109" s="65"/>
      <c r="C109" s="65"/>
      <c r="D109" s="65"/>
      <c r="E109" s="67"/>
      <c r="F109" s="11"/>
      <c r="H109" s="158"/>
    </row>
    <row r="110" spans="1:9" ht="30" customHeight="1" x14ac:dyDescent="0.25">
      <c r="A110" s="65"/>
      <c r="B110" s="65"/>
      <c r="C110" s="65"/>
      <c r="D110" s="65"/>
      <c r="E110" s="67"/>
      <c r="F110" s="11"/>
    </row>
    <row r="111" spans="1:9" ht="30" customHeight="1" x14ac:dyDescent="0.25">
      <c r="A111" s="34" t="s">
        <v>68</v>
      </c>
      <c r="B111" s="35"/>
      <c r="C111" s="35"/>
      <c r="D111" s="35"/>
      <c r="E111" s="59"/>
    </row>
    <row r="112" spans="1:9" ht="30" customHeight="1" x14ac:dyDescent="0.25">
      <c r="A112" s="34"/>
      <c r="B112" s="35"/>
      <c r="C112" s="35"/>
      <c r="D112" s="35"/>
      <c r="E112" s="59"/>
    </row>
    <row r="113" spans="1:7" ht="30" customHeight="1" x14ac:dyDescent="0.25">
      <c r="A113" s="34"/>
      <c r="B113" s="35"/>
      <c r="C113" s="35"/>
      <c r="D113" s="35"/>
      <c r="E113" s="59"/>
    </row>
    <row r="114" spans="1:7" ht="30" customHeight="1" x14ac:dyDescent="0.25">
      <c r="A114" s="34"/>
      <c r="B114" s="35"/>
      <c r="C114" s="35"/>
      <c r="D114" s="35"/>
      <c r="E114" s="59"/>
    </row>
    <row r="115" spans="1:7" ht="30" customHeight="1" x14ac:dyDescent="0.25">
      <c r="A115" s="34"/>
      <c r="B115" s="35"/>
      <c r="C115" s="35"/>
      <c r="D115" s="35"/>
      <c r="E115" s="59"/>
    </row>
    <row r="116" spans="1:7" ht="30" customHeight="1" x14ac:dyDescent="0.25">
      <c r="A116" s="34"/>
      <c r="B116" s="35"/>
      <c r="C116" s="35"/>
      <c r="D116" s="35"/>
      <c r="E116" s="59"/>
    </row>
    <row r="117" spans="1:7" ht="30" customHeight="1" x14ac:dyDescent="0.25">
      <c r="A117" s="34"/>
      <c r="B117" s="35"/>
      <c r="C117" s="35"/>
      <c r="D117" s="35"/>
      <c r="E117" s="59"/>
    </row>
    <row r="118" spans="1:7" ht="30" customHeight="1" x14ac:dyDescent="0.25">
      <c r="A118" s="34"/>
      <c r="B118" s="35"/>
      <c r="C118" s="35"/>
      <c r="D118" s="35"/>
      <c r="E118" s="59"/>
    </row>
    <row r="119" spans="1:7" ht="30" customHeight="1" x14ac:dyDescent="0.25">
      <c r="A119" s="34"/>
      <c r="B119" s="35"/>
      <c r="C119" s="35"/>
      <c r="D119" s="35"/>
      <c r="E119" s="59"/>
    </row>
    <row r="120" spans="1:7" ht="30" customHeight="1" x14ac:dyDescent="0.25">
      <c r="A120" s="34"/>
      <c r="B120" s="35"/>
      <c r="C120" s="35"/>
      <c r="D120" s="35"/>
      <c r="E120" s="59"/>
    </row>
    <row r="121" spans="1:7" ht="30" customHeight="1" x14ac:dyDescent="0.25">
      <c r="A121" s="34"/>
      <c r="B121" s="35"/>
      <c r="C121" s="35"/>
      <c r="D121" s="35"/>
      <c r="E121" s="59"/>
    </row>
    <row r="122" spans="1:7" ht="30" customHeight="1" x14ac:dyDescent="0.25">
      <c r="A122" s="34"/>
      <c r="B122" s="35"/>
      <c r="C122" s="35"/>
      <c r="D122" s="35"/>
      <c r="E122" s="59"/>
    </row>
    <row r="123" spans="1:7" ht="30" customHeight="1" x14ac:dyDescent="0.25">
      <c r="A123" s="34"/>
      <c r="B123" s="35"/>
      <c r="C123" s="35"/>
      <c r="D123" s="35"/>
      <c r="E123" s="59"/>
    </row>
    <row r="124" spans="1:7" ht="30" customHeight="1" thickBot="1" x14ac:dyDescent="0.3">
      <c r="A124" s="207"/>
      <c r="B124" s="207"/>
      <c r="C124" s="207"/>
      <c r="D124" s="207"/>
      <c r="E124" s="207"/>
      <c r="F124" s="207"/>
    </row>
    <row r="125" spans="1:7" s="11" customFormat="1" ht="38.25" customHeight="1" thickBot="1" x14ac:dyDescent="0.3">
      <c r="A125" s="208" t="s">
        <v>69</v>
      </c>
      <c r="B125" s="209"/>
      <c r="C125" s="209"/>
      <c r="D125" s="209"/>
      <c r="E125" s="209"/>
      <c r="F125" s="210"/>
      <c r="G125" s="91"/>
    </row>
    <row r="126" spans="1:7" s="11" customFormat="1" ht="38.25" customHeight="1" thickBot="1" x14ac:dyDescent="0.3">
      <c r="A126" s="195" t="s">
        <v>70</v>
      </c>
      <c r="B126" s="196"/>
      <c r="C126" s="196"/>
      <c r="D126" s="197"/>
      <c r="E126" s="185">
        <f>E57</f>
        <v>100823726.50999999</v>
      </c>
      <c r="F126" s="186"/>
      <c r="G126" s="91"/>
    </row>
    <row r="127" spans="1:7" s="11" customFormat="1" ht="38.25" customHeight="1" thickBot="1" x14ac:dyDescent="0.3">
      <c r="A127" s="195" t="s">
        <v>71</v>
      </c>
      <c r="B127" s="196"/>
      <c r="C127" s="196"/>
      <c r="D127" s="197"/>
      <c r="E127" s="185">
        <f>C99+D99</f>
        <v>94751515.99000001</v>
      </c>
      <c r="F127" s="186"/>
      <c r="G127" s="91"/>
    </row>
    <row r="128" spans="1:7" s="11" customFormat="1" ht="38.25" customHeight="1" thickBot="1" x14ac:dyDescent="0.3">
      <c r="A128" s="195" t="s">
        <v>72</v>
      </c>
      <c r="B128" s="196"/>
      <c r="C128" s="196"/>
      <c r="D128" s="197"/>
      <c r="E128" s="201">
        <f>E54-(E127-E56)</f>
        <v>6072210.5199999809</v>
      </c>
      <c r="F128" s="202"/>
      <c r="G128" s="91"/>
    </row>
    <row r="129" spans="1:7" s="11" customFormat="1" ht="38.25" customHeight="1" thickBot="1" x14ac:dyDescent="0.3">
      <c r="A129" s="195" t="s">
        <v>73</v>
      </c>
      <c r="B129" s="196"/>
      <c r="C129" s="196"/>
      <c r="D129" s="197"/>
      <c r="E129" s="211">
        <v>300000</v>
      </c>
      <c r="F129" s="212"/>
      <c r="G129" s="91"/>
    </row>
    <row r="130" spans="1:7" s="11" customFormat="1" ht="38.25" customHeight="1" thickBot="1" x14ac:dyDescent="0.3">
      <c r="A130" s="195" t="s">
        <v>74</v>
      </c>
      <c r="B130" s="196"/>
      <c r="C130" s="196"/>
      <c r="D130" s="197"/>
      <c r="E130" s="201">
        <f>E128-E129</f>
        <v>5772210.5199999809</v>
      </c>
      <c r="F130" s="202"/>
      <c r="G130" s="33">
        <f>5241425.19+318199.23+44849.04+115597.07+52139.99</f>
        <v>5772210.5200000005</v>
      </c>
    </row>
    <row r="131" spans="1:7" ht="30" customHeight="1" x14ac:dyDescent="0.25">
      <c r="A131" s="38"/>
      <c r="B131" s="37"/>
      <c r="C131" s="37"/>
      <c r="D131" s="37"/>
      <c r="G131" s="60">
        <f>G130-E130</f>
        <v>1.9557774066925049E-8</v>
      </c>
    </row>
    <row r="132" spans="1:7" ht="30" customHeight="1" x14ac:dyDescent="0.25">
      <c r="A132" s="214" t="s">
        <v>75</v>
      </c>
      <c r="B132" s="214"/>
      <c r="C132" s="214"/>
      <c r="D132" s="214"/>
      <c r="E132" s="214"/>
      <c r="F132" s="214"/>
    </row>
    <row r="133" spans="1:7" ht="30" customHeight="1" x14ac:dyDescent="0.25">
      <c r="A133" s="214"/>
      <c r="B133" s="214"/>
      <c r="C133" s="214"/>
      <c r="D133" s="214"/>
      <c r="E133" s="214"/>
      <c r="F133" s="214"/>
    </row>
    <row r="134" spans="1:7" ht="30" customHeight="1" x14ac:dyDescent="0.25">
      <c r="A134" s="69"/>
      <c r="B134" s="69"/>
      <c r="C134" s="69"/>
      <c r="D134" s="69"/>
      <c r="E134" s="69"/>
      <c r="F134" s="69"/>
    </row>
    <row r="135" spans="1:7" ht="30" customHeight="1" x14ac:dyDescent="0.25">
      <c r="A135" s="69"/>
      <c r="B135" s="69"/>
      <c r="C135" s="69"/>
      <c r="D135" s="69"/>
      <c r="E135" s="69"/>
      <c r="F135" s="69"/>
    </row>
    <row r="136" spans="1:7" ht="30" customHeight="1" x14ac:dyDescent="0.25">
      <c r="A136" s="69"/>
      <c r="B136" s="69"/>
      <c r="C136" s="69"/>
      <c r="D136" s="69"/>
      <c r="E136" s="69"/>
      <c r="F136" s="69"/>
    </row>
    <row r="137" spans="1:7" ht="30" customHeight="1" x14ac:dyDescent="0.25">
      <c r="A137" s="69"/>
      <c r="B137" s="69"/>
      <c r="C137" s="69"/>
      <c r="D137" s="69"/>
      <c r="E137" s="69"/>
      <c r="F137" s="69"/>
    </row>
    <row r="138" spans="1:7" ht="30" customHeight="1" x14ac:dyDescent="0.25">
      <c r="A138" s="70"/>
      <c r="B138" s="71"/>
      <c r="C138" s="71"/>
      <c r="D138" s="71"/>
      <c r="E138" s="72"/>
      <c r="F138" s="11"/>
    </row>
    <row r="139" spans="1:7" ht="30" customHeight="1" x14ac:dyDescent="0.25">
      <c r="A139" s="73" t="s">
        <v>144</v>
      </c>
      <c r="B139" s="74"/>
      <c r="C139" s="74"/>
      <c r="D139" s="74"/>
      <c r="E139" s="75"/>
      <c r="F139" s="76"/>
    </row>
    <row r="140" spans="1:7" ht="30" customHeight="1" x14ac:dyDescent="0.25">
      <c r="A140" s="73"/>
      <c r="B140" s="74"/>
      <c r="C140" s="74"/>
      <c r="D140" s="74"/>
      <c r="E140" s="75"/>
      <c r="F140" s="76"/>
    </row>
    <row r="141" spans="1:7" ht="30" customHeight="1" x14ac:dyDescent="0.25">
      <c r="A141" s="73"/>
      <c r="B141" s="74"/>
      <c r="C141" s="74"/>
      <c r="D141" s="74"/>
      <c r="E141" s="75"/>
      <c r="F141" s="76"/>
    </row>
    <row r="142" spans="1:7" ht="30" customHeight="1" x14ac:dyDescent="0.25">
      <c r="A142" s="73"/>
      <c r="B142" s="74"/>
      <c r="C142" s="74"/>
      <c r="D142" s="74"/>
      <c r="E142" s="75"/>
      <c r="F142" s="76"/>
    </row>
    <row r="143" spans="1:7" ht="30" customHeight="1" x14ac:dyDescent="0.25">
      <c r="A143" s="73"/>
      <c r="B143" s="74"/>
      <c r="C143" s="74"/>
      <c r="D143" s="74"/>
      <c r="E143" s="75"/>
      <c r="F143" s="76"/>
    </row>
    <row r="144" spans="1:7" ht="30" customHeight="1" x14ac:dyDescent="0.25">
      <c r="A144" s="73"/>
      <c r="B144" s="74"/>
      <c r="C144" s="74"/>
      <c r="D144" s="74"/>
      <c r="E144" s="75"/>
      <c r="F144" s="76"/>
    </row>
    <row r="145" spans="2:9" s="82" customFormat="1" ht="30" customHeight="1" x14ac:dyDescent="0.4">
      <c r="B145" s="79" t="s">
        <v>193</v>
      </c>
      <c r="C145" s="5"/>
      <c r="D145" s="79" t="s">
        <v>192</v>
      </c>
      <c r="E145" s="5"/>
      <c r="G145" s="80"/>
      <c r="H145" s="81"/>
    </row>
    <row r="146" spans="2:9" s="82" customFormat="1" ht="30" customHeight="1" x14ac:dyDescent="0.4">
      <c r="B146" s="78" t="s">
        <v>194</v>
      </c>
      <c r="C146" s="5"/>
      <c r="D146" s="78" t="s">
        <v>191</v>
      </c>
      <c r="E146" s="5"/>
      <c r="G146" s="80"/>
      <c r="H146" s="81"/>
    </row>
    <row r="147" spans="2:9" s="83" customFormat="1" ht="30" customHeight="1" x14ac:dyDescent="0.4">
      <c r="B147" s="84"/>
      <c r="C147" s="84"/>
      <c r="D147" s="84"/>
      <c r="E147" s="84"/>
      <c r="F147" s="6"/>
      <c r="G147" s="80"/>
      <c r="H147" s="81"/>
    </row>
    <row r="148" spans="2:9" s="83" customFormat="1" ht="30" x14ac:dyDescent="0.4">
      <c r="B148" s="84"/>
      <c r="C148" s="84"/>
      <c r="D148" s="84"/>
      <c r="E148" s="84"/>
      <c r="F148" s="6"/>
      <c r="G148" s="80"/>
      <c r="H148" s="81"/>
    </row>
    <row r="149" spans="2:9" s="83" customFormat="1" ht="30" x14ac:dyDescent="0.4">
      <c r="B149" s="84"/>
      <c r="C149" s="84"/>
      <c r="D149" s="84"/>
      <c r="E149" s="84"/>
      <c r="F149" s="6"/>
      <c r="G149" s="80"/>
      <c r="H149" s="81"/>
    </row>
    <row r="150" spans="2:9" s="83" customFormat="1" ht="30" x14ac:dyDescent="0.4">
      <c r="B150" s="84"/>
      <c r="C150" s="84"/>
      <c r="D150" s="84"/>
      <c r="E150" s="84"/>
      <c r="F150" s="6"/>
      <c r="G150" s="80"/>
      <c r="H150" s="81"/>
    </row>
    <row r="151" spans="2:9" s="83" customFormat="1" ht="30" x14ac:dyDescent="0.4">
      <c r="B151" s="84"/>
      <c r="C151" s="84"/>
      <c r="D151" s="84"/>
      <c r="E151" s="84"/>
      <c r="F151" s="6"/>
      <c r="G151" s="80"/>
      <c r="H151" s="81"/>
    </row>
    <row r="152" spans="2:9" s="83" customFormat="1" ht="30" x14ac:dyDescent="0.4">
      <c r="B152" s="84"/>
      <c r="C152" s="86" t="s">
        <v>76</v>
      </c>
      <c r="E152" s="84"/>
      <c r="F152" s="6"/>
      <c r="G152" s="80"/>
      <c r="H152" s="81"/>
    </row>
    <row r="153" spans="2:9" s="83" customFormat="1" ht="30" x14ac:dyDescent="0.4">
      <c r="C153" s="215" t="s">
        <v>77</v>
      </c>
      <c r="D153" s="215"/>
      <c r="F153" s="6"/>
      <c r="G153" s="80"/>
      <c r="H153" s="81"/>
    </row>
    <row r="154" spans="2:9" s="83" customFormat="1" ht="30" x14ac:dyDescent="0.4">
      <c r="B154" s="85"/>
      <c r="C154" s="86"/>
      <c r="F154" s="6"/>
      <c r="G154" s="104"/>
      <c r="H154" s="104"/>
      <c r="I154" s="104"/>
    </row>
    <row r="155" spans="2:9" s="83" customFormat="1" ht="30" x14ac:dyDescent="0.4">
      <c r="B155" s="85"/>
      <c r="C155" s="215"/>
      <c r="D155" s="215"/>
      <c r="E155" s="84"/>
      <c r="F155" s="6"/>
      <c r="G155" s="104"/>
      <c r="H155" s="104"/>
      <c r="I155" s="104"/>
    </row>
    <row r="159" spans="2:9" x14ac:dyDescent="0.25">
      <c r="E159" s="36"/>
    </row>
    <row r="162" spans="1:6" ht="30" x14ac:dyDescent="0.25">
      <c r="A162" s="87"/>
      <c r="B162" s="14"/>
      <c r="C162" s="14"/>
      <c r="D162" s="14"/>
      <c r="E162" s="11"/>
    </row>
    <row r="163" spans="1:6" ht="30" x14ac:dyDescent="0.25">
      <c r="A163" s="87"/>
      <c r="B163" s="14"/>
      <c r="C163" s="14"/>
      <c r="D163" s="14"/>
      <c r="E163" s="11"/>
    </row>
    <row r="166" spans="1:6" ht="48.75" customHeight="1" x14ac:dyDescent="0.25">
      <c r="B166" s="14"/>
      <c r="C166" s="14"/>
      <c r="D166" s="14"/>
      <c r="E166" s="11"/>
    </row>
    <row r="167" spans="1:6" ht="48.75" customHeight="1" x14ac:dyDescent="0.25">
      <c r="B167" s="14"/>
      <c r="C167" s="14"/>
      <c r="D167" s="14"/>
      <c r="E167" s="11"/>
    </row>
    <row r="173" spans="1:6" x14ac:dyDescent="0.25">
      <c r="B173" s="14"/>
      <c r="C173" s="14"/>
      <c r="D173" s="14"/>
      <c r="E173" s="11"/>
      <c r="F173" s="7"/>
    </row>
    <row r="174" spans="1:6" x14ac:dyDescent="0.25">
      <c r="B174" s="14"/>
      <c r="C174" s="14"/>
      <c r="D174" s="14"/>
      <c r="E174" s="11"/>
      <c r="F174" s="8"/>
    </row>
    <row r="176" spans="1:6" ht="30" x14ac:dyDescent="0.25">
      <c r="B176" s="87"/>
      <c r="C176" s="87"/>
      <c r="D176" s="87"/>
      <c r="E176" s="88"/>
    </row>
    <row r="177" spans="2:5" ht="30" x14ac:dyDescent="0.25">
      <c r="B177" s="87"/>
      <c r="C177" s="89"/>
      <c r="D177" s="90"/>
      <c r="E177" s="48"/>
    </row>
    <row r="180" spans="2:5" ht="30" x14ac:dyDescent="0.25">
      <c r="B180" s="213"/>
      <c r="C180" s="213"/>
      <c r="D180" s="87"/>
      <c r="E180" s="88"/>
    </row>
    <row r="181" spans="2:5" ht="30" x14ac:dyDescent="0.25">
      <c r="B181" s="213"/>
      <c r="C181" s="213"/>
      <c r="D181" s="213"/>
      <c r="E181" s="213"/>
    </row>
    <row r="187" spans="2:5" ht="30" x14ac:dyDescent="0.25">
      <c r="B187" s="213"/>
      <c r="C187" s="213"/>
      <c r="D187" s="87"/>
      <c r="E187" s="88"/>
    </row>
    <row r="188" spans="2:5" ht="30" x14ac:dyDescent="0.25">
      <c r="B188" s="213"/>
      <c r="C188" s="213"/>
      <c r="D188" s="89"/>
      <c r="E188" s="43"/>
    </row>
  </sheetData>
  <sheetProtection algorithmName="SHA-512" hashValue="2lHE23/vgIDbkPVtOY5nkJBgd2V5SiAgmYW+rA5u7dXgz+hz/IODOaybZGSHfl3SQLBxw5jxutm65n2QVX0thg==" saltValue="ieTtP2NuALePjogNN4zQ1g==" spinCount="100000" sheet="1" objects="1" scenarios="1" selectLockedCells="1" selectUnlockedCells="1"/>
  <mergeCells count="81">
    <mergeCell ref="E36:F36"/>
    <mergeCell ref="A32:F32"/>
    <mergeCell ref="A31:B31"/>
    <mergeCell ref="E31:F31"/>
    <mergeCell ref="E49:F49"/>
    <mergeCell ref="A48:A49"/>
    <mergeCell ref="E37:F37"/>
    <mergeCell ref="B34:B35"/>
    <mergeCell ref="E34:F34"/>
    <mergeCell ref="E35:F35"/>
    <mergeCell ref="A34:A36"/>
    <mergeCell ref="A1:E1"/>
    <mergeCell ref="A8:E8"/>
    <mergeCell ref="A9:F9"/>
    <mergeCell ref="A10:F10"/>
    <mergeCell ref="A18:F20"/>
    <mergeCell ref="A24:B24"/>
    <mergeCell ref="E24:F24"/>
    <mergeCell ref="A28:B28"/>
    <mergeCell ref="E28:F28"/>
    <mergeCell ref="E33:F33"/>
    <mergeCell ref="A29:B29"/>
    <mergeCell ref="E29:F29"/>
    <mergeCell ref="A25:B25"/>
    <mergeCell ref="E25:F25"/>
    <mergeCell ref="A26:B26"/>
    <mergeCell ref="E26:F26"/>
    <mergeCell ref="A27:B27"/>
    <mergeCell ref="E27:F27"/>
    <mergeCell ref="A30:B30"/>
    <mergeCell ref="E30:F30"/>
    <mergeCell ref="A129:D129"/>
    <mergeCell ref="E129:F129"/>
    <mergeCell ref="B187:C187"/>
    <mergeCell ref="B188:C188"/>
    <mergeCell ref="A130:D130"/>
    <mergeCell ref="E130:F130"/>
    <mergeCell ref="A132:F133"/>
    <mergeCell ref="C155:D155"/>
    <mergeCell ref="B180:C180"/>
    <mergeCell ref="B181:C181"/>
    <mergeCell ref="D181:E181"/>
    <mergeCell ref="C153:D153"/>
    <mergeCell ref="A127:D127"/>
    <mergeCell ref="E127:F127"/>
    <mergeCell ref="A128:D128"/>
    <mergeCell ref="E128:F128"/>
    <mergeCell ref="A68:F69"/>
    <mergeCell ref="A74:F74"/>
    <mergeCell ref="A124:F124"/>
    <mergeCell ref="A125:F125"/>
    <mergeCell ref="A126:D126"/>
    <mergeCell ref="E126:F126"/>
    <mergeCell ref="A60:C60"/>
    <mergeCell ref="A52:D52"/>
    <mergeCell ref="E52:F52"/>
    <mergeCell ref="A53:D53"/>
    <mergeCell ref="E53:F53"/>
    <mergeCell ref="A54:D54"/>
    <mergeCell ref="E54:F54"/>
    <mergeCell ref="A55:F55"/>
    <mergeCell ref="A56:D56"/>
    <mergeCell ref="E56:F56"/>
    <mergeCell ref="A57:D57"/>
    <mergeCell ref="E57:F57"/>
    <mergeCell ref="A50:D50"/>
    <mergeCell ref="E50:F50"/>
    <mergeCell ref="A51:D51"/>
    <mergeCell ref="E51:F51"/>
    <mergeCell ref="E38:F38"/>
    <mergeCell ref="E39:F39"/>
    <mergeCell ref="E40:F40"/>
    <mergeCell ref="E41:F41"/>
    <mergeCell ref="E42:F42"/>
    <mergeCell ref="E44:F44"/>
    <mergeCell ref="E45:F45"/>
    <mergeCell ref="E46:F46"/>
    <mergeCell ref="E47:F47"/>
    <mergeCell ref="E48:F48"/>
    <mergeCell ref="E43:F43"/>
    <mergeCell ref="A43:A44"/>
  </mergeCells>
  <printOptions horizontalCentered="1"/>
  <pageMargins left="0.39370078740157483" right="0.39370078740157483" top="0.39370078740157483" bottom="0.39370078740157483" header="0.11811023622047245" footer="0.51181102362204722"/>
  <pageSetup paperSize="9" scale="35" orientation="portrait" r:id="rId1"/>
  <rowBreaks count="3" manualBreakCount="3">
    <brk id="31" max="5" man="1"/>
    <brk id="62" max="5" man="1"/>
    <brk id="11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7:IS221"/>
  <sheetViews>
    <sheetView zoomScale="55" zoomScaleNormal="55" zoomScaleSheetLayoutView="55" workbookViewId="0">
      <selection activeCell="B14" sqref="B14"/>
    </sheetView>
  </sheetViews>
  <sheetFormatPr defaultColWidth="0" defaultRowHeight="25.5" x14ac:dyDescent="0.25"/>
  <cols>
    <col min="1" max="1" width="43" style="15" customWidth="1"/>
    <col min="2" max="4" width="43" style="16" customWidth="1"/>
    <col min="5" max="5" width="43" style="17" customWidth="1"/>
    <col min="6" max="6" width="43" style="1" customWidth="1"/>
    <col min="7" max="7" width="38.140625" style="12" customWidth="1"/>
    <col min="8" max="8" width="46.140625" style="13" bestFit="1" customWidth="1"/>
    <col min="9" max="9" width="28.7109375" style="14" bestFit="1" customWidth="1"/>
    <col min="10" max="10" width="20.85546875" style="14" bestFit="1" customWidth="1"/>
    <col min="11" max="12" width="9.140625" style="14" customWidth="1"/>
    <col min="13" max="13" width="1.7109375" style="14" customWidth="1"/>
    <col min="14" max="25" width="9.140625" style="14" customWidth="1"/>
    <col min="26" max="26" width="1.42578125" style="14" customWidth="1"/>
    <col min="27" max="49" width="9.140625" style="14" customWidth="1"/>
    <col min="50" max="50" width="1.28515625" style="14" customWidth="1"/>
    <col min="51" max="71" width="9.140625" style="14" customWidth="1"/>
    <col min="72" max="72" width="1.28515625" style="14" customWidth="1"/>
    <col min="73" max="90" width="9.140625" style="14" customWidth="1"/>
    <col min="91" max="91" width="0.42578125" style="14" customWidth="1"/>
    <col min="92" max="92" width="1.140625" style="14" customWidth="1"/>
    <col min="93" max="115" width="9.140625" style="14" customWidth="1"/>
    <col min="116" max="116" width="1.7109375" style="14" customWidth="1"/>
    <col min="117" max="162" width="9.140625" style="14" customWidth="1"/>
    <col min="163" max="163" width="3.42578125" style="14" customWidth="1"/>
    <col min="164" max="186" width="9.140625" style="14" customWidth="1"/>
    <col min="187" max="187" width="2" style="14" customWidth="1"/>
    <col min="188" max="188" width="8" style="14" customWidth="1"/>
    <col min="189" max="193" width="9.140625" style="14" customWidth="1"/>
    <col min="194" max="194" width="8.7109375" style="14" customWidth="1"/>
    <col min="195" max="203" width="9.140625" style="14" customWidth="1"/>
    <col min="204" max="204" width="3.7109375" style="14" customWidth="1"/>
    <col min="205" max="206" width="9.140625" style="14" customWidth="1"/>
    <col min="207" max="207" width="2" style="14" customWidth="1"/>
    <col min="208" max="208" width="8" style="14" customWidth="1"/>
    <col min="209" max="213" width="9.140625" style="14" customWidth="1"/>
    <col min="214" max="214" width="8.7109375" style="14" customWidth="1"/>
    <col min="215" max="223" width="9.140625" style="14" customWidth="1"/>
    <col min="224" max="224" width="3.7109375" style="14" customWidth="1"/>
    <col min="225" max="226" width="9.140625" style="14" customWidth="1"/>
    <col min="227" max="227" width="2" style="14" customWidth="1"/>
    <col min="228" max="228" width="8" style="14" customWidth="1"/>
    <col min="229" max="233" width="9.140625" style="14" customWidth="1"/>
    <col min="234" max="234" width="8.7109375" style="14" customWidth="1"/>
    <col min="235" max="243" width="9.140625" style="14" customWidth="1"/>
    <col min="244" max="244" width="3.7109375" style="14" customWidth="1"/>
    <col min="245" max="245" width="9.140625" style="14" customWidth="1"/>
    <col min="246" max="253" width="0" style="14" hidden="1" customWidth="1"/>
    <col min="254" max="16384" width="9.140625" style="14" hidden="1"/>
  </cols>
  <sheetData>
    <row r="7" spans="1:8" ht="30" customHeight="1" x14ac:dyDescent="0.25">
      <c r="A7" s="207"/>
      <c r="B7" s="207"/>
      <c r="C7" s="207"/>
      <c r="D7" s="207"/>
      <c r="E7" s="207"/>
      <c r="F7" s="11"/>
    </row>
    <row r="8" spans="1:8" ht="30" customHeight="1" x14ac:dyDescent="0.25">
      <c r="A8" s="207"/>
      <c r="B8" s="207"/>
      <c r="C8" s="207"/>
      <c r="D8" s="207"/>
      <c r="E8" s="207"/>
      <c r="F8" s="11"/>
    </row>
    <row r="9" spans="1:8" ht="30" customHeight="1" x14ac:dyDescent="0.25">
      <c r="A9" s="225" t="s">
        <v>93</v>
      </c>
      <c r="B9" s="225"/>
      <c r="C9" s="225"/>
      <c r="D9" s="225"/>
      <c r="E9" s="225"/>
      <c r="F9" s="225"/>
    </row>
    <row r="10" spans="1:8" ht="30" customHeight="1" x14ac:dyDescent="0.25">
      <c r="A10" s="225" t="s">
        <v>1</v>
      </c>
      <c r="B10" s="225"/>
      <c r="C10" s="225"/>
      <c r="D10" s="225"/>
      <c r="E10" s="225"/>
      <c r="F10" s="225"/>
    </row>
    <row r="11" spans="1:8" ht="30" customHeight="1" x14ac:dyDescent="0.25"/>
    <row r="12" spans="1:8" s="11" customFormat="1" ht="30" customHeight="1" x14ac:dyDescent="0.25">
      <c r="A12" s="18" t="s">
        <v>86</v>
      </c>
      <c r="B12" s="19"/>
      <c r="C12" s="19"/>
      <c r="D12" s="19"/>
      <c r="E12" s="19"/>
      <c r="G12" s="12"/>
      <c r="H12" s="13"/>
    </row>
    <row r="13" spans="1:8" s="11" customFormat="1" ht="30" customHeight="1" x14ac:dyDescent="0.25">
      <c r="A13" s="18" t="s">
        <v>87</v>
      </c>
      <c r="B13" s="19"/>
      <c r="C13" s="19"/>
      <c r="D13" s="19"/>
      <c r="E13" s="19"/>
      <c r="G13" s="12"/>
      <c r="H13" s="13"/>
    </row>
    <row r="14" spans="1:8" s="11" customFormat="1" ht="30" customHeight="1" x14ac:dyDescent="0.25">
      <c r="A14" s="18" t="s">
        <v>88</v>
      </c>
      <c r="B14" s="19"/>
      <c r="C14" s="19"/>
      <c r="D14" s="19"/>
      <c r="E14" s="19"/>
      <c r="G14" s="12"/>
      <c r="H14" s="13"/>
    </row>
    <row r="15" spans="1:8" s="11" customFormat="1" ht="30" customHeight="1" x14ac:dyDescent="0.25">
      <c r="A15" s="18" t="s">
        <v>89</v>
      </c>
      <c r="B15" s="19"/>
      <c r="C15" s="19"/>
      <c r="D15" s="19"/>
      <c r="E15" s="19"/>
      <c r="G15" s="12"/>
      <c r="H15" s="13"/>
    </row>
    <row r="16" spans="1:8" s="11" customFormat="1" ht="30" customHeight="1" x14ac:dyDescent="0.25">
      <c r="A16" s="18" t="s">
        <v>90</v>
      </c>
      <c r="B16" s="19"/>
      <c r="C16" s="19"/>
      <c r="D16" s="19"/>
      <c r="E16" s="19"/>
      <c r="G16" s="12"/>
      <c r="H16" s="13"/>
    </row>
    <row r="17" spans="1:9" s="11" customFormat="1" ht="30" customHeight="1" x14ac:dyDescent="0.25">
      <c r="A17" s="18" t="s">
        <v>199</v>
      </c>
      <c r="B17" s="19"/>
      <c r="C17" s="19"/>
      <c r="D17" s="19"/>
      <c r="E17" s="19"/>
      <c r="G17" s="12"/>
      <c r="H17" s="13"/>
    </row>
    <row r="18" spans="1:9" s="11" customFormat="1" ht="32.25" customHeight="1" x14ac:dyDescent="0.25">
      <c r="A18" s="226" t="s">
        <v>196</v>
      </c>
      <c r="B18" s="226"/>
      <c r="C18" s="226"/>
      <c r="D18" s="226"/>
      <c r="E18" s="226"/>
      <c r="F18" s="226"/>
      <c r="G18" s="20"/>
      <c r="H18" s="13"/>
    </row>
    <row r="19" spans="1:9" s="11" customFormat="1" ht="32.25" customHeight="1" x14ac:dyDescent="0.25">
      <c r="A19" s="226"/>
      <c r="B19" s="226"/>
      <c r="C19" s="226"/>
      <c r="D19" s="226"/>
      <c r="E19" s="226"/>
      <c r="F19" s="226"/>
      <c r="G19" s="20"/>
      <c r="H19" s="13"/>
    </row>
    <row r="20" spans="1:9" s="11" customFormat="1" ht="37.5" customHeight="1" x14ac:dyDescent="0.25">
      <c r="A20" s="226"/>
      <c r="B20" s="226"/>
      <c r="C20" s="226"/>
      <c r="D20" s="226"/>
      <c r="E20" s="226"/>
      <c r="F20" s="226"/>
      <c r="G20" s="20"/>
      <c r="H20" s="13"/>
    </row>
    <row r="21" spans="1:9" s="11" customFormat="1" ht="30" customHeight="1" x14ac:dyDescent="0.25">
      <c r="A21" s="18" t="s">
        <v>147</v>
      </c>
      <c r="B21" s="19"/>
      <c r="C21" s="19"/>
      <c r="D21" s="19"/>
      <c r="E21" s="19"/>
      <c r="F21" s="1"/>
      <c r="G21" s="12"/>
      <c r="H21" s="13"/>
    </row>
    <row r="22" spans="1:9" s="11" customFormat="1" ht="30" customHeight="1" x14ac:dyDescent="0.25">
      <c r="A22" s="18" t="s">
        <v>91</v>
      </c>
      <c r="B22" s="19"/>
      <c r="C22" s="19"/>
      <c r="D22" s="19"/>
      <c r="E22" s="19"/>
      <c r="F22" s="1"/>
      <c r="G22" s="12"/>
    </row>
    <row r="23" spans="1:9" ht="30" customHeight="1" thickBot="1" x14ac:dyDescent="0.3">
      <c r="A23" s="21"/>
      <c r="B23" s="22"/>
      <c r="C23" s="22"/>
      <c r="D23" s="22"/>
      <c r="E23" s="19"/>
      <c r="G23" s="13"/>
    </row>
    <row r="24" spans="1:9" s="11" customFormat="1" ht="37.5" customHeight="1" thickBot="1" x14ac:dyDescent="0.3">
      <c r="A24" s="208" t="s">
        <v>2</v>
      </c>
      <c r="B24" s="210"/>
      <c r="C24" s="23" t="s">
        <v>3</v>
      </c>
      <c r="D24" s="23" t="s">
        <v>4</v>
      </c>
      <c r="E24" s="208" t="s">
        <v>5</v>
      </c>
      <c r="F24" s="210"/>
      <c r="G24" s="12"/>
      <c r="H24" s="13"/>
    </row>
    <row r="25" spans="1:9" s="27" customFormat="1" ht="324" customHeight="1" thickBot="1" x14ac:dyDescent="0.3">
      <c r="A25" s="221" t="s">
        <v>170</v>
      </c>
      <c r="B25" s="222"/>
      <c r="C25" s="94">
        <v>45658</v>
      </c>
      <c r="D25" s="94">
        <v>45838</v>
      </c>
      <c r="E25" s="218">
        <v>32406556.079999998</v>
      </c>
      <c r="F25" s="219"/>
      <c r="G25" s="24">
        <v>5401092.6799999997</v>
      </c>
      <c r="H25" s="25"/>
      <c r="I25" s="26"/>
    </row>
    <row r="26" spans="1:9" s="27" customFormat="1" ht="189.75" customHeight="1" thickBot="1" x14ac:dyDescent="0.3">
      <c r="A26" s="221" t="s">
        <v>125</v>
      </c>
      <c r="B26" s="222"/>
      <c r="C26" s="94">
        <v>45757</v>
      </c>
      <c r="D26" s="94">
        <v>45838</v>
      </c>
      <c r="E26" s="218">
        <v>71456.479999999996</v>
      </c>
      <c r="F26" s="219"/>
      <c r="G26" s="24"/>
      <c r="H26" s="25"/>
      <c r="I26" s="26"/>
    </row>
    <row r="27" spans="1:9" s="27" customFormat="1" ht="172.5" customHeight="1" thickBot="1" x14ac:dyDescent="0.3">
      <c r="A27" s="221" t="s">
        <v>138</v>
      </c>
      <c r="B27" s="222"/>
      <c r="C27" s="94">
        <v>45835</v>
      </c>
      <c r="D27" s="94">
        <v>45838</v>
      </c>
      <c r="E27" s="240">
        <v>2763185.16</v>
      </c>
      <c r="F27" s="241"/>
      <c r="G27" s="24">
        <f>E27+G26</f>
        <v>2763185.16</v>
      </c>
      <c r="H27" s="25"/>
      <c r="I27" s="26"/>
    </row>
    <row r="28" spans="1:9" s="27" customFormat="1" ht="325.5" customHeight="1" thickBot="1" x14ac:dyDescent="0.3">
      <c r="A28" s="221" t="s">
        <v>154</v>
      </c>
      <c r="B28" s="222"/>
      <c r="C28" s="94">
        <v>45839</v>
      </c>
      <c r="D28" s="94">
        <v>46203</v>
      </c>
      <c r="E28" s="218">
        <v>32835295.02</v>
      </c>
      <c r="F28" s="219"/>
      <c r="G28" s="24"/>
      <c r="H28" s="25"/>
      <c r="I28" s="26"/>
    </row>
    <row r="29" spans="1:9" s="11" customFormat="1" ht="60" customHeight="1" thickBot="1" x14ac:dyDescent="0.3">
      <c r="A29" s="208" t="s">
        <v>6</v>
      </c>
      <c r="B29" s="209"/>
      <c r="C29" s="209"/>
      <c r="D29" s="209"/>
      <c r="E29" s="209"/>
      <c r="F29" s="210"/>
      <c r="G29" s="12"/>
      <c r="H29" s="13"/>
    </row>
    <row r="30" spans="1:9" s="11" customFormat="1" ht="101.25" customHeight="1" thickBot="1" x14ac:dyDescent="0.3">
      <c r="A30" s="28" t="s">
        <v>82</v>
      </c>
      <c r="B30" s="28" t="s">
        <v>7</v>
      </c>
      <c r="C30" s="29" t="s">
        <v>8</v>
      </c>
      <c r="D30" s="30" t="s">
        <v>9</v>
      </c>
      <c r="E30" s="220" t="s">
        <v>10</v>
      </c>
      <c r="F30" s="220"/>
      <c r="G30" s="12"/>
      <c r="H30" s="13"/>
    </row>
    <row r="31" spans="1:9" s="11" customFormat="1" ht="28.5" customHeight="1" thickBot="1" x14ac:dyDescent="0.35">
      <c r="A31" s="232">
        <v>45658</v>
      </c>
      <c r="B31" s="234">
        <v>5401092.6799999997</v>
      </c>
      <c r="C31" s="156">
        <v>45665</v>
      </c>
      <c r="D31" s="157" t="s">
        <v>100</v>
      </c>
      <c r="E31" s="236">
        <f>5280864</f>
        <v>5280864</v>
      </c>
      <c r="F31" s="237"/>
      <c r="G31" s="31"/>
      <c r="H31" s="13"/>
    </row>
    <row r="32" spans="1:9" s="11" customFormat="1" ht="28.5" customHeight="1" thickBot="1" x14ac:dyDescent="0.35">
      <c r="A32" s="233"/>
      <c r="B32" s="235"/>
      <c r="C32" s="156">
        <v>45685</v>
      </c>
      <c r="D32" s="157" t="s">
        <v>101</v>
      </c>
      <c r="E32" s="238"/>
      <c r="F32" s="239"/>
      <c r="G32" s="31"/>
      <c r="H32" s="13"/>
    </row>
    <row r="33" spans="1:8" s="11" customFormat="1" ht="28.5" customHeight="1" thickBot="1" x14ac:dyDescent="0.35">
      <c r="A33" s="233"/>
      <c r="B33" s="235"/>
      <c r="C33" s="156">
        <v>45685</v>
      </c>
      <c r="D33" s="157" t="s">
        <v>102</v>
      </c>
      <c r="E33" s="238"/>
      <c r="F33" s="239"/>
      <c r="G33" s="31"/>
      <c r="H33" s="13"/>
    </row>
    <row r="34" spans="1:8" s="11" customFormat="1" ht="28.5" customHeight="1" thickBot="1" x14ac:dyDescent="0.35">
      <c r="A34" s="232">
        <v>45689</v>
      </c>
      <c r="B34" s="234">
        <f>5401092.68</f>
        <v>5401092.6799999997</v>
      </c>
      <c r="C34" s="156">
        <v>45699</v>
      </c>
      <c r="D34" s="157" t="s">
        <v>111</v>
      </c>
      <c r="E34" s="236">
        <f>6108059.14</f>
        <v>6108059.1399999997</v>
      </c>
      <c r="F34" s="237"/>
      <c r="G34" s="31"/>
      <c r="H34" s="13"/>
    </row>
    <row r="35" spans="1:8" s="11" customFormat="1" ht="28.5" customHeight="1" thickBot="1" x14ac:dyDescent="0.35">
      <c r="A35" s="233"/>
      <c r="B35" s="235"/>
      <c r="C35" s="156">
        <v>45699</v>
      </c>
      <c r="D35" s="157" t="s">
        <v>112</v>
      </c>
      <c r="E35" s="238"/>
      <c r="F35" s="239"/>
      <c r="G35" s="31"/>
      <c r="H35" s="13"/>
    </row>
    <row r="36" spans="1:8" s="11" customFormat="1" ht="28.5" customHeight="1" thickBot="1" x14ac:dyDescent="0.35">
      <c r="A36" s="233"/>
      <c r="B36" s="235"/>
      <c r="C36" s="156">
        <v>45714</v>
      </c>
      <c r="D36" s="157" t="s">
        <v>113</v>
      </c>
      <c r="E36" s="238"/>
      <c r="F36" s="239"/>
      <c r="G36" s="31"/>
      <c r="H36" s="13"/>
    </row>
    <row r="37" spans="1:8" s="11" customFormat="1" ht="28.5" customHeight="1" thickBot="1" x14ac:dyDescent="0.35">
      <c r="A37" s="233"/>
      <c r="B37" s="235"/>
      <c r="C37" s="156">
        <v>45714</v>
      </c>
      <c r="D37" s="157" t="s">
        <v>114</v>
      </c>
      <c r="E37" s="238"/>
      <c r="F37" s="239"/>
      <c r="G37" s="31"/>
      <c r="H37" s="13"/>
    </row>
    <row r="38" spans="1:8" s="11" customFormat="1" ht="28.5" customHeight="1" thickBot="1" x14ac:dyDescent="0.35">
      <c r="A38" s="232">
        <v>45717</v>
      </c>
      <c r="B38" s="234">
        <v>5401092.6799999997</v>
      </c>
      <c r="C38" s="156">
        <v>45721</v>
      </c>
      <c r="D38" s="157" t="s">
        <v>117</v>
      </c>
      <c r="E38" s="236">
        <f>6524869.27</f>
        <v>6524869.2699999996</v>
      </c>
      <c r="F38" s="237"/>
      <c r="G38" s="31"/>
      <c r="H38" s="13"/>
    </row>
    <row r="39" spans="1:8" s="11" customFormat="1" ht="28.5" customHeight="1" thickBot="1" x14ac:dyDescent="0.35">
      <c r="A39" s="233"/>
      <c r="B39" s="235"/>
      <c r="C39" s="156">
        <v>45721</v>
      </c>
      <c r="D39" s="157" t="s">
        <v>118</v>
      </c>
      <c r="E39" s="238"/>
      <c r="F39" s="239"/>
      <c r="G39" s="31"/>
      <c r="H39" s="13"/>
    </row>
    <row r="40" spans="1:8" s="11" customFormat="1" ht="28.5" customHeight="1" thickBot="1" x14ac:dyDescent="0.35">
      <c r="A40" s="233"/>
      <c r="B40" s="235"/>
      <c r="C40" s="156">
        <v>45743</v>
      </c>
      <c r="D40" s="157" t="s">
        <v>119</v>
      </c>
      <c r="E40" s="238"/>
      <c r="F40" s="239"/>
      <c r="G40" s="31"/>
      <c r="H40" s="13"/>
    </row>
    <row r="41" spans="1:8" s="11" customFormat="1" ht="28.5" customHeight="1" thickBot="1" x14ac:dyDescent="0.35">
      <c r="A41" s="233"/>
      <c r="B41" s="235"/>
      <c r="C41" s="156">
        <v>45743</v>
      </c>
      <c r="D41" s="157" t="s">
        <v>120</v>
      </c>
      <c r="E41" s="238"/>
      <c r="F41" s="239"/>
      <c r="G41" s="31"/>
      <c r="H41" s="13"/>
    </row>
    <row r="42" spans="1:8" s="11" customFormat="1" ht="28.5" customHeight="1" thickBot="1" x14ac:dyDescent="0.35">
      <c r="A42" s="233"/>
      <c r="B42" s="235"/>
      <c r="C42" s="156">
        <v>45743</v>
      </c>
      <c r="D42" s="157" t="s">
        <v>121</v>
      </c>
      <c r="E42" s="238"/>
      <c r="F42" s="239"/>
      <c r="G42" s="31"/>
      <c r="H42" s="13"/>
    </row>
    <row r="43" spans="1:8" s="11" customFormat="1" ht="28.5" customHeight="1" thickBot="1" x14ac:dyDescent="0.35">
      <c r="A43" s="233"/>
      <c r="B43" s="235"/>
      <c r="C43" s="156">
        <v>45743</v>
      </c>
      <c r="D43" s="157" t="s">
        <v>122</v>
      </c>
      <c r="E43" s="238"/>
      <c r="F43" s="239"/>
      <c r="G43" s="31"/>
      <c r="H43" s="13"/>
    </row>
    <row r="44" spans="1:8" s="11" customFormat="1" ht="28.5" customHeight="1" thickBot="1" x14ac:dyDescent="0.35">
      <c r="A44" s="232">
        <v>45748</v>
      </c>
      <c r="B44" s="234">
        <v>5472549.1600000001</v>
      </c>
      <c r="C44" s="156">
        <v>45748</v>
      </c>
      <c r="D44" s="157" t="s">
        <v>126</v>
      </c>
      <c r="E44" s="236">
        <f>6002064.77</f>
        <v>6002064.7699999996</v>
      </c>
      <c r="F44" s="237"/>
      <c r="G44" s="31"/>
      <c r="H44" s="13"/>
    </row>
    <row r="45" spans="1:8" s="11" customFormat="1" ht="28.5" customHeight="1" thickBot="1" x14ac:dyDescent="0.35">
      <c r="A45" s="233"/>
      <c r="B45" s="235"/>
      <c r="C45" s="156">
        <v>45761</v>
      </c>
      <c r="D45" s="157" t="s">
        <v>127</v>
      </c>
      <c r="E45" s="238"/>
      <c r="F45" s="239"/>
      <c r="G45" s="31"/>
      <c r="H45" s="13"/>
    </row>
    <row r="46" spans="1:8" s="11" customFormat="1" ht="28.5" customHeight="1" thickBot="1" x14ac:dyDescent="0.35">
      <c r="A46" s="233"/>
      <c r="B46" s="235"/>
      <c r="C46" s="156">
        <v>45763</v>
      </c>
      <c r="D46" s="157" t="s">
        <v>128</v>
      </c>
      <c r="E46" s="238"/>
      <c r="F46" s="239"/>
      <c r="G46" s="31"/>
      <c r="H46" s="13"/>
    </row>
    <row r="47" spans="1:8" s="11" customFormat="1" ht="28.5" customHeight="1" thickBot="1" x14ac:dyDescent="0.35">
      <c r="A47" s="233"/>
      <c r="B47" s="235"/>
      <c r="C47" s="156">
        <v>45775</v>
      </c>
      <c r="D47" s="157" t="s">
        <v>129</v>
      </c>
      <c r="E47" s="238"/>
      <c r="F47" s="239"/>
      <c r="G47" s="31"/>
      <c r="H47" s="13"/>
    </row>
    <row r="48" spans="1:8" s="11" customFormat="1" ht="28.5" customHeight="1" thickBot="1" x14ac:dyDescent="0.35">
      <c r="A48" s="233"/>
      <c r="B48" s="235"/>
      <c r="C48" s="156">
        <v>45775</v>
      </c>
      <c r="D48" s="157" t="s">
        <v>130</v>
      </c>
      <c r="E48" s="238"/>
      <c r="F48" s="239"/>
      <c r="G48" s="31"/>
      <c r="H48" s="13"/>
    </row>
    <row r="49" spans="1:8" s="11" customFormat="1" ht="28.5" customHeight="1" thickBot="1" x14ac:dyDescent="0.35">
      <c r="A49" s="233"/>
      <c r="B49" s="235"/>
      <c r="C49" s="156">
        <v>45777</v>
      </c>
      <c r="D49" s="157" t="s">
        <v>131</v>
      </c>
      <c r="E49" s="238"/>
      <c r="F49" s="239"/>
      <c r="G49" s="31"/>
      <c r="H49" s="13"/>
    </row>
    <row r="50" spans="1:8" s="11" customFormat="1" ht="28.5" customHeight="1" thickBot="1" x14ac:dyDescent="0.35">
      <c r="A50" s="232">
        <v>45778</v>
      </c>
      <c r="B50" s="234">
        <v>5472549.1600000001</v>
      </c>
      <c r="C50" s="156">
        <v>45779</v>
      </c>
      <c r="D50" s="157" t="s">
        <v>133</v>
      </c>
      <c r="E50" s="236">
        <f>5443685.13</f>
        <v>5443685.1299999999</v>
      </c>
      <c r="F50" s="237"/>
      <c r="G50" s="31"/>
      <c r="H50" s="13"/>
    </row>
    <row r="51" spans="1:8" s="11" customFormat="1" ht="28.5" customHeight="1" thickBot="1" x14ac:dyDescent="0.35">
      <c r="A51" s="233"/>
      <c r="B51" s="235"/>
      <c r="C51" s="156">
        <v>45805</v>
      </c>
      <c r="D51" s="157" t="s">
        <v>134</v>
      </c>
      <c r="E51" s="238"/>
      <c r="F51" s="239"/>
      <c r="G51" s="31"/>
      <c r="H51" s="13"/>
    </row>
    <row r="52" spans="1:8" s="11" customFormat="1" ht="28.5" customHeight="1" thickBot="1" x14ac:dyDescent="0.35">
      <c r="A52" s="233"/>
      <c r="B52" s="235"/>
      <c r="C52" s="156">
        <v>45805</v>
      </c>
      <c r="D52" s="157" t="s">
        <v>135</v>
      </c>
      <c r="E52" s="238"/>
      <c r="F52" s="239"/>
      <c r="G52" s="31"/>
      <c r="H52" s="13"/>
    </row>
    <row r="53" spans="1:8" s="11" customFormat="1" ht="28.5" customHeight="1" thickBot="1" x14ac:dyDescent="0.35">
      <c r="A53" s="232">
        <v>45809</v>
      </c>
      <c r="B53" s="234">
        <v>8164277.8399999999</v>
      </c>
      <c r="C53" s="156">
        <v>45814</v>
      </c>
      <c r="D53" s="157" t="s">
        <v>139</v>
      </c>
      <c r="E53" s="236">
        <f>8757307.8</f>
        <v>8757307.8000000007</v>
      </c>
      <c r="F53" s="237"/>
      <c r="G53" s="31"/>
      <c r="H53" s="13"/>
    </row>
    <row r="54" spans="1:8" s="11" customFormat="1" ht="28.5" customHeight="1" thickBot="1" x14ac:dyDescent="0.35">
      <c r="A54" s="233"/>
      <c r="B54" s="235"/>
      <c r="C54" s="156">
        <v>45814</v>
      </c>
      <c r="D54" s="157" t="s">
        <v>140</v>
      </c>
      <c r="E54" s="238"/>
      <c r="F54" s="239"/>
      <c r="G54" s="31"/>
      <c r="H54" s="13"/>
    </row>
    <row r="55" spans="1:8" s="11" customFormat="1" ht="28.5" customHeight="1" thickBot="1" x14ac:dyDescent="0.35">
      <c r="A55" s="233"/>
      <c r="B55" s="235"/>
      <c r="C55" s="156">
        <v>45834</v>
      </c>
      <c r="D55" s="157" t="s">
        <v>141</v>
      </c>
      <c r="E55" s="238"/>
      <c r="F55" s="239"/>
      <c r="G55" s="31"/>
      <c r="H55" s="13"/>
    </row>
    <row r="56" spans="1:8" s="11" customFormat="1" ht="28.5" customHeight="1" thickBot="1" x14ac:dyDescent="0.35">
      <c r="A56" s="233"/>
      <c r="B56" s="235"/>
      <c r="C56" s="156">
        <v>45834</v>
      </c>
      <c r="D56" s="157" t="s">
        <v>142</v>
      </c>
      <c r="E56" s="238"/>
      <c r="F56" s="239"/>
      <c r="G56" s="31"/>
      <c r="H56" s="13"/>
    </row>
    <row r="57" spans="1:8" s="11" customFormat="1" ht="28.5" customHeight="1" thickBot="1" x14ac:dyDescent="0.35">
      <c r="A57" s="233"/>
      <c r="B57" s="235"/>
      <c r="C57" s="156">
        <v>45838</v>
      </c>
      <c r="D57" s="157" t="s">
        <v>143</v>
      </c>
      <c r="E57" s="238"/>
      <c r="F57" s="239"/>
      <c r="G57" s="31"/>
      <c r="H57" s="13"/>
    </row>
    <row r="58" spans="1:8" s="11" customFormat="1" ht="28.5" customHeight="1" thickBot="1" x14ac:dyDescent="0.35">
      <c r="A58" s="232">
        <v>45839</v>
      </c>
      <c r="B58" s="234">
        <v>5401092.6799999997</v>
      </c>
      <c r="C58" s="156">
        <v>45841</v>
      </c>
      <c r="D58" s="157" t="s">
        <v>148</v>
      </c>
      <c r="E58" s="236">
        <f>6059797.1</f>
        <v>6059797.0999999996</v>
      </c>
      <c r="F58" s="237"/>
      <c r="G58" s="31"/>
      <c r="H58" s="13"/>
    </row>
    <row r="59" spans="1:8" s="11" customFormat="1" ht="28.5" customHeight="1" thickBot="1" x14ac:dyDescent="0.35">
      <c r="A59" s="233"/>
      <c r="B59" s="235"/>
      <c r="C59" s="156">
        <v>45841</v>
      </c>
      <c r="D59" s="157" t="s">
        <v>149</v>
      </c>
      <c r="E59" s="238"/>
      <c r="F59" s="239"/>
      <c r="G59" s="31"/>
      <c r="H59" s="13"/>
    </row>
    <row r="60" spans="1:8" s="11" customFormat="1" ht="28.5" customHeight="1" thickBot="1" x14ac:dyDescent="0.35">
      <c r="A60" s="233"/>
      <c r="B60" s="235"/>
      <c r="C60" s="156">
        <v>45866</v>
      </c>
      <c r="D60" s="157" t="s">
        <v>150</v>
      </c>
      <c r="E60" s="238"/>
      <c r="F60" s="239"/>
      <c r="G60" s="31"/>
      <c r="H60" s="13"/>
    </row>
    <row r="61" spans="1:8" s="11" customFormat="1" ht="28.5" customHeight="1" thickBot="1" x14ac:dyDescent="0.35">
      <c r="A61" s="233"/>
      <c r="B61" s="235"/>
      <c r="C61" s="156">
        <v>45866</v>
      </c>
      <c r="D61" s="157" t="s">
        <v>151</v>
      </c>
      <c r="E61" s="238"/>
      <c r="F61" s="239"/>
      <c r="G61" s="31"/>
      <c r="H61" s="13"/>
    </row>
    <row r="62" spans="1:8" s="11" customFormat="1" ht="28.5" customHeight="1" thickBot="1" x14ac:dyDescent="0.35">
      <c r="A62" s="232">
        <v>45870</v>
      </c>
      <c r="B62" s="234">
        <v>5401092.6799999997</v>
      </c>
      <c r="C62" s="156">
        <v>45876</v>
      </c>
      <c r="D62" s="157" t="s">
        <v>156</v>
      </c>
      <c r="E62" s="236">
        <f>610651.34+629510.89+4350375.45+349673.71</f>
        <v>5940211.3899999997</v>
      </c>
      <c r="F62" s="237"/>
      <c r="G62" s="31"/>
      <c r="H62" s="13"/>
    </row>
    <row r="63" spans="1:8" s="11" customFormat="1" ht="28.5" customHeight="1" thickBot="1" x14ac:dyDescent="0.35">
      <c r="A63" s="233"/>
      <c r="B63" s="235"/>
      <c r="C63" s="156">
        <v>45883</v>
      </c>
      <c r="D63" s="157" t="s">
        <v>157</v>
      </c>
      <c r="E63" s="238"/>
      <c r="F63" s="239"/>
      <c r="G63" s="31"/>
      <c r="H63" s="13"/>
    </row>
    <row r="64" spans="1:8" s="11" customFormat="1" ht="28.5" customHeight="1" thickBot="1" x14ac:dyDescent="0.35">
      <c r="A64" s="233"/>
      <c r="B64" s="235"/>
      <c r="C64" s="156">
        <v>45896</v>
      </c>
      <c r="D64" s="157" t="s">
        <v>158</v>
      </c>
      <c r="E64" s="238"/>
      <c r="F64" s="239"/>
      <c r="G64" s="31"/>
      <c r="H64" s="13"/>
    </row>
    <row r="65" spans="1:8" s="11" customFormat="1" ht="28.5" customHeight="1" thickBot="1" x14ac:dyDescent="0.35">
      <c r="A65" s="233"/>
      <c r="B65" s="235"/>
      <c r="C65" s="156">
        <v>45896</v>
      </c>
      <c r="D65" s="157" t="s">
        <v>159</v>
      </c>
      <c r="E65" s="238"/>
      <c r="F65" s="239"/>
      <c r="G65" s="31"/>
      <c r="H65" s="13"/>
    </row>
    <row r="66" spans="1:8" s="11" customFormat="1" ht="28.5" customHeight="1" thickBot="1" x14ac:dyDescent="0.35">
      <c r="A66" s="232">
        <v>45901</v>
      </c>
      <c r="B66" s="234">
        <v>5401092.6799999997</v>
      </c>
      <c r="C66" s="156">
        <v>45905</v>
      </c>
      <c r="D66" s="157" t="s">
        <v>164</v>
      </c>
      <c r="E66" s="236">
        <f>594114.34+659369.15+4350375.46+349673.71</f>
        <v>5953532.6600000001</v>
      </c>
      <c r="F66" s="237"/>
      <c r="G66" s="31"/>
      <c r="H66" s="13"/>
    </row>
    <row r="67" spans="1:8" s="11" customFormat="1" ht="28.5" customHeight="1" thickBot="1" x14ac:dyDescent="0.35">
      <c r="A67" s="233"/>
      <c r="B67" s="235"/>
      <c r="C67" s="156">
        <v>45905</v>
      </c>
      <c r="D67" s="157" t="s">
        <v>165</v>
      </c>
      <c r="E67" s="238"/>
      <c r="F67" s="239"/>
      <c r="G67" s="31"/>
      <c r="H67" s="13"/>
    </row>
    <row r="68" spans="1:8" s="11" customFormat="1" ht="28.5" customHeight="1" thickBot="1" x14ac:dyDescent="0.35">
      <c r="A68" s="233"/>
      <c r="B68" s="235"/>
      <c r="C68" s="156">
        <v>45929</v>
      </c>
      <c r="D68" s="157" t="s">
        <v>166</v>
      </c>
      <c r="E68" s="238"/>
      <c r="F68" s="239"/>
      <c r="G68" s="31"/>
      <c r="H68" s="13"/>
    </row>
    <row r="69" spans="1:8" s="11" customFormat="1" ht="28.5" customHeight="1" thickBot="1" x14ac:dyDescent="0.35">
      <c r="A69" s="233"/>
      <c r="B69" s="235"/>
      <c r="C69" s="156">
        <v>45929</v>
      </c>
      <c r="D69" s="157" t="s">
        <v>167</v>
      </c>
      <c r="E69" s="238"/>
      <c r="F69" s="239"/>
      <c r="G69" s="31"/>
      <c r="H69" s="13"/>
    </row>
    <row r="70" spans="1:8" s="11" customFormat="1" ht="28.5" customHeight="1" thickBot="1" x14ac:dyDescent="0.35">
      <c r="A70" s="232">
        <v>45931</v>
      </c>
      <c r="B70" s="234">
        <v>5401092.6799999997</v>
      </c>
      <c r="C70" s="156">
        <v>45933</v>
      </c>
      <c r="D70" s="157" t="s">
        <v>171</v>
      </c>
      <c r="E70" s="236">
        <f>640322.04+730275.79+349673.71+4350375.46</f>
        <v>6070647</v>
      </c>
      <c r="F70" s="237"/>
      <c r="G70" s="31"/>
      <c r="H70" s="13"/>
    </row>
    <row r="71" spans="1:8" s="11" customFormat="1" ht="28.5" customHeight="1" thickBot="1" x14ac:dyDescent="0.35">
      <c r="A71" s="233"/>
      <c r="B71" s="235"/>
      <c r="C71" s="156">
        <v>45933</v>
      </c>
      <c r="D71" s="157" t="s">
        <v>172</v>
      </c>
      <c r="E71" s="238"/>
      <c r="F71" s="239"/>
      <c r="G71" s="31"/>
      <c r="H71" s="13"/>
    </row>
    <row r="72" spans="1:8" s="11" customFormat="1" ht="28.5" customHeight="1" thickBot="1" x14ac:dyDescent="0.35">
      <c r="A72" s="233"/>
      <c r="B72" s="235"/>
      <c r="C72" s="156">
        <v>45959</v>
      </c>
      <c r="D72" s="157" t="s">
        <v>173</v>
      </c>
      <c r="E72" s="238"/>
      <c r="F72" s="239"/>
      <c r="G72" s="31"/>
      <c r="H72" s="13"/>
    </row>
    <row r="73" spans="1:8" s="11" customFormat="1" ht="28.5" customHeight="1" thickBot="1" x14ac:dyDescent="0.35">
      <c r="A73" s="233"/>
      <c r="B73" s="235"/>
      <c r="C73" s="156">
        <v>45959</v>
      </c>
      <c r="D73" s="157" t="s">
        <v>174</v>
      </c>
      <c r="E73" s="238"/>
      <c r="F73" s="239"/>
      <c r="G73" s="31"/>
      <c r="H73" s="13"/>
    </row>
    <row r="74" spans="1:8" s="11" customFormat="1" ht="28.5" customHeight="1" thickBot="1" x14ac:dyDescent="0.35">
      <c r="A74" s="232">
        <v>45962</v>
      </c>
      <c r="B74" s="234">
        <f>5401092.68</f>
        <v>5401092.6799999997</v>
      </c>
      <c r="C74" s="156">
        <v>45989</v>
      </c>
      <c r="D74" s="157" t="s">
        <v>177</v>
      </c>
      <c r="E74" s="236">
        <f>747104.49+666388.94+751154.11+4350375.46+687561.62+349673.71</f>
        <v>7552258.3300000001</v>
      </c>
      <c r="F74" s="237"/>
      <c r="G74" s="31"/>
      <c r="H74" s="13"/>
    </row>
    <row r="75" spans="1:8" s="11" customFormat="1" ht="28.5" customHeight="1" thickBot="1" x14ac:dyDescent="0.35">
      <c r="A75" s="233"/>
      <c r="B75" s="235"/>
      <c r="C75" s="156">
        <v>45989</v>
      </c>
      <c r="D75" s="157" t="s">
        <v>178</v>
      </c>
      <c r="E75" s="238"/>
      <c r="F75" s="239"/>
      <c r="G75" s="31"/>
      <c r="H75" s="13"/>
    </row>
    <row r="76" spans="1:8" s="11" customFormat="1" ht="28.5" customHeight="1" thickBot="1" x14ac:dyDescent="0.35">
      <c r="A76" s="233"/>
      <c r="B76" s="235"/>
      <c r="C76" s="156">
        <v>45989</v>
      </c>
      <c r="D76" s="157" t="s">
        <v>179</v>
      </c>
      <c r="E76" s="238"/>
      <c r="F76" s="239"/>
      <c r="G76" s="31"/>
      <c r="H76" s="13"/>
    </row>
    <row r="77" spans="1:8" s="11" customFormat="1" ht="28.5" customHeight="1" thickBot="1" x14ac:dyDescent="0.35">
      <c r="A77" s="233"/>
      <c r="B77" s="235"/>
      <c r="C77" s="156">
        <v>45989</v>
      </c>
      <c r="D77" s="157" t="s">
        <v>180</v>
      </c>
      <c r="E77" s="238"/>
      <c r="F77" s="239"/>
      <c r="G77" s="31"/>
      <c r="H77" s="13"/>
    </row>
    <row r="78" spans="1:8" s="11" customFormat="1" ht="28.5" customHeight="1" thickBot="1" x14ac:dyDescent="0.35">
      <c r="A78" s="233"/>
      <c r="B78" s="235"/>
      <c r="C78" s="156">
        <v>46022</v>
      </c>
      <c r="D78" s="157" t="s">
        <v>181</v>
      </c>
      <c r="E78" s="238"/>
      <c r="F78" s="239"/>
      <c r="G78" s="31"/>
      <c r="H78" s="13"/>
    </row>
    <row r="79" spans="1:8" s="11" customFormat="1" ht="28.5" customHeight="1" thickBot="1" x14ac:dyDescent="0.35">
      <c r="A79" s="233"/>
      <c r="B79" s="235"/>
      <c r="C79" s="156">
        <v>46022</v>
      </c>
      <c r="D79" s="157" t="s">
        <v>182</v>
      </c>
      <c r="E79" s="238"/>
      <c r="F79" s="239"/>
      <c r="G79" s="31"/>
      <c r="H79" s="13"/>
    </row>
    <row r="80" spans="1:8" s="11" customFormat="1" ht="28.5" customHeight="1" thickBot="1" x14ac:dyDescent="0.35">
      <c r="A80" s="232">
        <v>45992</v>
      </c>
      <c r="B80" s="234">
        <f>5401092.68</f>
        <v>5401092.6799999997</v>
      </c>
      <c r="C80" s="156">
        <v>46017</v>
      </c>
      <c r="D80" s="157" t="s">
        <v>185</v>
      </c>
      <c r="E80" s="236">
        <f>349673.71+4350375.46</f>
        <v>4700049.17</v>
      </c>
      <c r="F80" s="237"/>
      <c r="G80" s="31"/>
      <c r="H80" s="13"/>
    </row>
    <row r="81" spans="1:8" s="11" customFormat="1" ht="28.5" customHeight="1" thickBot="1" x14ac:dyDescent="0.35">
      <c r="A81" s="233"/>
      <c r="B81" s="235"/>
      <c r="C81" s="156">
        <v>46017</v>
      </c>
      <c r="D81" s="157" t="s">
        <v>186</v>
      </c>
      <c r="E81" s="238"/>
      <c r="F81" s="239"/>
      <c r="G81" s="31"/>
      <c r="H81" s="13"/>
    </row>
    <row r="82" spans="1:8" s="11" customFormat="1" ht="38.1" customHeight="1" thickBot="1" x14ac:dyDescent="0.3">
      <c r="A82" s="184" t="s">
        <v>83</v>
      </c>
      <c r="B82" s="184"/>
      <c r="C82" s="184"/>
      <c r="D82" s="184"/>
      <c r="E82" s="185">
        <v>6390636</v>
      </c>
      <c r="F82" s="186"/>
    </row>
    <row r="83" spans="1:8" s="11" customFormat="1" ht="37.5" customHeight="1" thickBot="1" x14ac:dyDescent="0.3">
      <c r="A83" s="184" t="s">
        <v>84</v>
      </c>
      <c r="B83" s="184"/>
      <c r="C83" s="184"/>
      <c r="D83" s="184"/>
      <c r="E83" s="187">
        <f>SUM(E31:F81)</f>
        <v>74393345.760000005</v>
      </c>
      <c r="F83" s="187"/>
      <c r="G83" s="12">
        <f>30514265.03+41115895.57+2763185.16</f>
        <v>74393345.75999999</v>
      </c>
      <c r="H83" s="13">
        <f>E83-G83</f>
        <v>0</v>
      </c>
    </row>
    <row r="84" spans="1:8" s="11" customFormat="1" ht="37.5" customHeight="1" thickBot="1" x14ac:dyDescent="0.3">
      <c r="A84" s="195" t="s">
        <v>11</v>
      </c>
      <c r="B84" s="196"/>
      <c r="C84" s="196"/>
      <c r="D84" s="197"/>
      <c r="E84" s="187">
        <f>38584.12+30303.37+23534.86+31115.29+37984.5+35485.69+68401.54+43413.94+38060.72+35714.87+23948.16+33622.25</f>
        <v>440169.31</v>
      </c>
      <c r="F84" s="187"/>
      <c r="G84" s="12">
        <f>38584.12+30303.37+23534.86+31115.29+37984.5+35485.69+68401.54+43413.94+38060.72+35714.87+23948.16+33622.25</f>
        <v>440169.31</v>
      </c>
      <c r="H84" s="13">
        <f>G84-E84</f>
        <v>0</v>
      </c>
    </row>
    <row r="85" spans="1:8" s="11" customFormat="1" ht="38.1" customHeight="1" thickBot="1" x14ac:dyDescent="0.3">
      <c r="A85" s="184" t="s">
        <v>12</v>
      </c>
      <c r="B85" s="184"/>
      <c r="C85" s="184"/>
      <c r="D85" s="184"/>
      <c r="E85" s="187">
        <f>6051.72+3876.25+15.58</f>
        <v>9943.5500000000011</v>
      </c>
      <c r="F85" s="187"/>
      <c r="G85" s="12"/>
      <c r="H85" s="13"/>
    </row>
    <row r="86" spans="1:8" s="11" customFormat="1" ht="38.1" customHeight="1" thickBot="1" x14ac:dyDescent="0.3">
      <c r="A86" s="184" t="s">
        <v>13</v>
      </c>
      <c r="B86" s="184"/>
      <c r="C86" s="184"/>
      <c r="D86" s="184"/>
      <c r="E86" s="198">
        <f>E82+E83+E84+E85</f>
        <v>81234094.620000005</v>
      </c>
      <c r="F86" s="198"/>
      <c r="G86" s="12"/>
      <c r="H86" s="13"/>
    </row>
    <row r="87" spans="1:8" s="11" customFormat="1" ht="38.1" customHeight="1" thickBot="1" x14ac:dyDescent="0.3">
      <c r="A87" s="199"/>
      <c r="B87" s="199"/>
      <c r="C87" s="199"/>
      <c r="D87" s="199"/>
      <c r="E87" s="199"/>
      <c r="F87" s="199"/>
      <c r="G87" s="12">
        <v>71630160.599999994</v>
      </c>
      <c r="H87" s="13">
        <f>E83-G87</f>
        <v>2763185.1600000113</v>
      </c>
    </row>
    <row r="88" spans="1:8" s="11" customFormat="1" ht="38.1" customHeight="1" thickBot="1" x14ac:dyDescent="0.3">
      <c r="A88" s="184" t="s">
        <v>14</v>
      </c>
      <c r="B88" s="184"/>
      <c r="C88" s="184"/>
      <c r="D88" s="184"/>
      <c r="E88" s="187">
        <v>0</v>
      </c>
      <c r="F88" s="187"/>
      <c r="G88" s="12"/>
      <c r="H88" s="13"/>
    </row>
    <row r="89" spans="1:8" s="11" customFormat="1" ht="38.1" customHeight="1" thickBot="1" x14ac:dyDescent="0.3">
      <c r="A89" s="184" t="s">
        <v>110</v>
      </c>
      <c r="B89" s="184"/>
      <c r="C89" s="184"/>
      <c r="D89" s="184"/>
      <c r="E89" s="200">
        <f>E86+E88</f>
        <v>81234094.620000005</v>
      </c>
      <c r="F89" s="200"/>
      <c r="G89" s="12"/>
      <c r="H89" s="13"/>
    </row>
    <row r="90" spans="1:8" ht="30" customHeight="1" x14ac:dyDescent="0.25">
      <c r="A90" s="34" t="s">
        <v>16</v>
      </c>
      <c r="B90" s="35"/>
      <c r="C90" s="35"/>
      <c r="D90" s="35"/>
      <c r="E90" s="36"/>
    </row>
    <row r="91" spans="1:8" ht="30" customHeight="1" x14ac:dyDescent="0.25">
      <c r="A91" s="34" t="s">
        <v>17</v>
      </c>
      <c r="B91" s="35"/>
      <c r="C91" s="35"/>
      <c r="D91" s="37"/>
    </row>
    <row r="92" spans="1:8" ht="30" customHeight="1" x14ac:dyDescent="0.25">
      <c r="A92" s="194" t="s">
        <v>85</v>
      </c>
      <c r="B92" s="194"/>
      <c r="C92" s="194"/>
      <c r="D92" s="37"/>
    </row>
    <row r="93" spans="1:8" ht="30" customHeight="1" x14ac:dyDescent="0.25">
      <c r="A93" s="38"/>
      <c r="B93" s="37"/>
      <c r="C93" s="37"/>
      <c r="D93" s="37"/>
      <c r="F93" s="11"/>
    </row>
    <row r="94" spans="1:8" ht="30" customHeight="1" x14ac:dyDescent="0.25">
      <c r="A94" s="39"/>
      <c r="B94" s="39"/>
      <c r="C94" s="39"/>
      <c r="D94" s="39"/>
      <c r="E94" s="39"/>
      <c r="F94" s="39"/>
    </row>
    <row r="95" spans="1:8" ht="30" customHeight="1" x14ac:dyDescent="0.25">
      <c r="A95" s="39"/>
      <c r="B95" s="39"/>
      <c r="C95" s="39"/>
      <c r="D95" s="39"/>
      <c r="E95" s="39"/>
      <c r="F95" s="39"/>
    </row>
    <row r="96" spans="1:8" ht="30" customHeight="1" x14ac:dyDescent="0.25">
      <c r="A96" s="39"/>
      <c r="B96" s="39"/>
      <c r="C96" s="39"/>
      <c r="D96" s="39"/>
      <c r="E96" s="39"/>
      <c r="F96" s="39"/>
    </row>
    <row r="97" spans="1:8" ht="30" customHeight="1" x14ac:dyDescent="0.25">
      <c r="A97" s="39"/>
      <c r="B97" s="39"/>
      <c r="C97" s="39"/>
      <c r="D97" s="39"/>
      <c r="E97" s="39"/>
      <c r="F97" s="39"/>
    </row>
    <row r="98" spans="1:8" ht="30" customHeight="1" x14ac:dyDescent="0.25">
      <c r="A98" s="39"/>
      <c r="B98" s="39"/>
      <c r="C98" s="39"/>
      <c r="D98" s="39"/>
      <c r="E98" s="39"/>
      <c r="F98" s="39"/>
    </row>
    <row r="99" spans="1:8" ht="30" customHeight="1" x14ac:dyDescent="0.25">
      <c r="A99" s="39"/>
      <c r="B99" s="39"/>
      <c r="C99" s="39"/>
      <c r="D99" s="39"/>
      <c r="E99" s="39"/>
      <c r="F99" s="39"/>
    </row>
    <row r="100" spans="1:8" ht="30" customHeight="1" x14ac:dyDescent="0.25">
      <c r="A100" s="203" t="s">
        <v>197</v>
      </c>
      <c r="B100" s="203"/>
      <c r="C100" s="203"/>
      <c r="D100" s="203"/>
      <c r="E100" s="203"/>
      <c r="F100" s="203"/>
    </row>
    <row r="101" spans="1:8" ht="30" customHeight="1" x14ac:dyDescent="0.25">
      <c r="A101" s="203"/>
      <c r="B101" s="203"/>
      <c r="C101" s="203"/>
      <c r="D101" s="203"/>
      <c r="E101" s="203"/>
      <c r="F101" s="203"/>
    </row>
    <row r="102" spans="1:8" ht="30" customHeight="1" x14ac:dyDescent="0.25">
      <c r="A102" s="39"/>
      <c r="B102" s="39"/>
      <c r="C102" s="39"/>
      <c r="D102" s="39"/>
      <c r="E102" s="39"/>
      <c r="F102" s="39"/>
    </row>
    <row r="103" spans="1:8" ht="30" customHeight="1" x14ac:dyDescent="0.25">
      <c r="A103" s="39"/>
      <c r="B103" s="39"/>
      <c r="C103" s="39"/>
      <c r="D103" s="39"/>
      <c r="E103" s="39"/>
      <c r="F103" s="39"/>
    </row>
    <row r="104" spans="1:8" ht="31.5" customHeight="1" x14ac:dyDescent="0.25">
      <c r="A104" s="39"/>
      <c r="B104" s="39"/>
      <c r="C104" s="39"/>
      <c r="D104" s="39"/>
      <c r="E104" s="39"/>
      <c r="F104" s="39"/>
    </row>
    <row r="105" spans="1:8" ht="30" customHeight="1" thickBot="1" x14ac:dyDescent="0.3">
      <c r="A105" s="39"/>
      <c r="B105" s="39"/>
      <c r="C105" s="39"/>
      <c r="D105" s="39"/>
      <c r="E105" s="39"/>
      <c r="F105" s="39"/>
    </row>
    <row r="106" spans="1:8" s="11" customFormat="1" ht="37.5" customHeight="1" thickBot="1" x14ac:dyDescent="0.3">
      <c r="A106" s="204" t="s">
        <v>18</v>
      </c>
      <c r="B106" s="205"/>
      <c r="C106" s="205"/>
      <c r="D106" s="205"/>
      <c r="E106" s="205"/>
      <c r="F106" s="206"/>
      <c r="G106" s="12"/>
      <c r="H106" s="13"/>
    </row>
    <row r="107" spans="1:8" s="11" customFormat="1" ht="37.5" customHeight="1" thickBot="1" x14ac:dyDescent="0.3">
      <c r="A107" s="40" t="s">
        <v>92</v>
      </c>
      <c r="B107" s="41"/>
      <c r="C107" s="41"/>
      <c r="D107" s="41"/>
      <c r="E107" s="41"/>
      <c r="F107" s="3"/>
      <c r="G107" s="12"/>
      <c r="H107" s="13"/>
    </row>
    <row r="108" spans="1:8" s="11" customFormat="1" ht="33" customHeight="1" x14ac:dyDescent="0.25">
      <c r="A108" s="42"/>
      <c r="B108" s="43"/>
      <c r="C108" s="44" t="s">
        <v>19</v>
      </c>
      <c r="D108" s="44" t="s">
        <v>19</v>
      </c>
      <c r="E108" s="44" t="s">
        <v>20</v>
      </c>
      <c r="F108" s="44" t="s">
        <v>19</v>
      </c>
      <c r="G108" s="12"/>
      <c r="H108" s="13"/>
    </row>
    <row r="109" spans="1:8" s="11" customFormat="1" ht="33" customHeight="1" x14ac:dyDescent="0.25">
      <c r="A109" s="44" t="s">
        <v>21</v>
      </c>
      <c r="B109" s="45" t="s">
        <v>19</v>
      </c>
      <c r="C109" s="44" t="s">
        <v>22</v>
      </c>
      <c r="D109" s="44" t="s">
        <v>22</v>
      </c>
      <c r="E109" s="44" t="s">
        <v>19</v>
      </c>
      <c r="F109" s="44" t="s">
        <v>22</v>
      </c>
      <c r="G109" s="12"/>
      <c r="H109" s="13"/>
    </row>
    <row r="110" spans="1:8" s="11" customFormat="1" ht="33" customHeight="1" x14ac:dyDescent="0.25">
      <c r="A110" s="44" t="s">
        <v>23</v>
      </c>
      <c r="B110" s="45" t="s">
        <v>22</v>
      </c>
      <c r="C110" s="44" t="s">
        <v>24</v>
      </c>
      <c r="D110" s="44" t="s">
        <v>25</v>
      </c>
      <c r="E110" s="44" t="s">
        <v>26</v>
      </c>
      <c r="F110" s="44" t="s">
        <v>27</v>
      </c>
      <c r="G110" s="12"/>
      <c r="H110" s="13"/>
    </row>
    <row r="111" spans="1:8" s="11" customFormat="1" ht="33" customHeight="1" x14ac:dyDescent="0.25">
      <c r="A111" s="44" t="s">
        <v>28</v>
      </c>
      <c r="B111" s="45" t="s">
        <v>29</v>
      </c>
      <c r="C111" s="44" t="s">
        <v>30</v>
      </c>
      <c r="D111" s="44" t="s">
        <v>31</v>
      </c>
      <c r="E111" s="44" t="s">
        <v>29</v>
      </c>
      <c r="F111" s="44" t="s">
        <v>32</v>
      </c>
      <c r="G111" s="12"/>
      <c r="H111" s="13"/>
    </row>
    <row r="112" spans="1:8" s="11" customFormat="1" ht="33" customHeight="1" x14ac:dyDescent="0.25">
      <c r="A112" s="42"/>
      <c r="B112" s="45" t="s">
        <v>33</v>
      </c>
      <c r="C112" s="44" t="s">
        <v>34</v>
      </c>
      <c r="D112" s="44" t="s">
        <v>33</v>
      </c>
      <c r="E112" s="44" t="s">
        <v>35</v>
      </c>
      <c r="F112" s="44" t="s">
        <v>36</v>
      </c>
      <c r="G112" s="12"/>
      <c r="H112" s="13"/>
    </row>
    <row r="113" spans="1:10" s="11" customFormat="1" ht="33" customHeight="1" x14ac:dyDescent="0.25">
      <c r="A113" s="42"/>
      <c r="B113" s="46"/>
      <c r="C113" s="44" t="s">
        <v>33</v>
      </c>
      <c r="D113" s="44" t="s">
        <v>37</v>
      </c>
      <c r="E113" s="44" t="s">
        <v>38</v>
      </c>
      <c r="F113" s="44" t="s">
        <v>39</v>
      </c>
      <c r="G113" s="12"/>
      <c r="H113" s="13"/>
    </row>
    <row r="114" spans="1:10" s="11" customFormat="1" ht="33" customHeight="1" thickBot="1" x14ac:dyDescent="0.3">
      <c r="A114" s="47"/>
      <c r="B114" s="48"/>
      <c r="C114" s="49" t="s">
        <v>40</v>
      </c>
      <c r="D114" s="50"/>
      <c r="E114" s="51" t="s">
        <v>41</v>
      </c>
      <c r="F114" s="50"/>
      <c r="G114" s="160" t="s">
        <v>99</v>
      </c>
      <c r="H114" s="13"/>
    </row>
    <row r="115" spans="1:10" s="11" customFormat="1" ht="47.25" customHeight="1" thickBot="1" x14ac:dyDescent="0.3">
      <c r="A115" s="52" t="s">
        <v>42</v>
      </c>
      <c r="B115" s="53">
        <f t="shared" ref="B115:B130" si="0">D115+F115</f>
        <v>0</v>
      </c>
      <c r="C115" s="54">
        <v>0</v>
      </c>
      <c r="D115" s="54">
        <v>0</v>
      </c>
      <c r="E115" s="54">
        <f>D115+C115</f>
        <v>0</v>
      </c>
      <c r="F115" s="55"/>
      <c r="G115" s="159">
        <v>0</v>
      </c>
      <c r="H115" s="13">
        <f>G115-C115</f>
        <v>0</v>
      </c>
    </row>
    <row r="116" spans="1:10" s="11" customFormat="1" ht="47.25" customHeight="1" thickBot="1" x14ac:dyDescent="0.3">
      <c r="A116" s="52" t="s">
        <v>43</v>
      </c>
      <c r="B116" s="53">
        <f t="shared" si="0"/>
        <v>0</v>
      </c>
      <c r="C116" s="54">
        <v>0</v>
      </c>
      <c r="D116" s="54">
        <v>0</v>
      </c>
      <c r="E116" s="54">
        <f t="shared" ref="E116:E130" si="1">D116+C116</f>
        <v>0</v>
      </c>
      <c r="F116" s="55"/>
      <c r="G116" s="159">
        <v>0</v>
      </c>
      <c r="H116" s="13">
        <f t="shared" ref="H116:H131" si="2">G116-C116</f>
        <v>0</v>
      </c>
    </row>
    <row r="117" spans="1:10" s="11" customFormat="1" ht="47.25" customHeight="1" thickBot="1" x14ac:dyDescent="0.3">
      <c r="A117" s="52" t="s">
        <v>44</v>
      </c>
      <c r="B117" s="53">
        <f>D117+F117</f>
        <v>5808489</v>
      </c>
      <c r="C117" s="54">
        <f>1385363.53+196150.19+25091.22</f>
        <v>1606604.94</v>
      </c>
      <c r="D117" s="54">
        <f>858.01+446468.89+825611.96+101257.72+137264.1+30221.38+1357764.89+1141513.8+105456.77+787118.61+483526.56+205161.62</f>
        <v>5622224.3099999996</v>
      </c>
      <c r="E117" s="54">
        <f>D117+C117</f>
        <v>7228829.25</v>
      </c>
      <c r="F117" s="55">
        <f>76554.04+109710.65</f>
        <v>186264.69</v>
      </c>
      <c r="G117" s="159">
        <v>1606604.94</v>
      </c>
      <c r="H117" s="13">
        <f t="shared" si="2"/>
        <v>0</v>
      </c>
    </row>
    <row r="118" spans="1:10" s="11" customFormat="1" ht="53.25" customHeight="1" thickBot="1" x14ac:dyDescent="0.3">
      <c r="A118" s="56" t="s">
        <v>45</v>
      </c>
      <c r="B118" s="53">
        <f t="shared" si="0"/>
        <v>8524116.5600000005</v>
      </c>
      <c r="C118" s="54">
        <f>676404.05+378030.4+39137.11</f>
        <v>1093571.5600000003</v>
      </c>
      <c r="D118" s="54">
        <f>26133.98+550291.25+646143.95+717928.76+745010.27+1099003.85+944183.91+468337.59+1181674.86+544030.53+455116.33</f>
        <v>7377855.2800000003</v>
      </c>
      <c r="E118" s="54">
        <f t="shared" si="1"/>
        <v>8471426.8399999999</v>
      </c>
      <c r="F118" s="55">
        <f>328893.52+742463.97+74903.79</f>
        <v>1146261.28</v>
      </c>
      <c r="G118" s="159">
        <v>1093571.56</v>
      </c>
      <c r="H118" s="13">
        <f t="shared" si="2"/>
        <v>0</v>
      </c>
    </row>
    <row r="119" spans="1:10" s="11" customFormat="1" ht="47.25" customHeight="1" thickBot="1" x14ac:dyDescent="0.3">
      <c r="A119" s="52" t="s">
        <v>46</v>
      </c>
      <c r="B119" s="53">
        <f t="shared" si="0"/>
        <v>0</v>
      </c>
      <c r="C119" s="54">
        <v>0</v>
      </c>
      <c r="D119" s="54">
        <v>0</v>
      </c>
      <c r="E119" s="54">
        <f t="shared" si="1"/>
        <v>0</v>
      </c>
      <c r="F119" s="55"/>
      <c r="G119" s="159"/>
      <c r="H119" s="13">
        <f t="shared" si="2"/>
        <v>0</v>
      </c>
    </row>
    <row r="120" spans="1:10" s="11" customFormat="1" ht="54" customHeight="1" thickBot="1" x14ac:dyDescent="0.3">
      <c r="A120" s="56" t="s">
        <v>47</v>
      </c>
      <c r="B120" s="53">
        <f t="shared" si="0"/>
        <v>927034.26000000013</v>
      </c>
      <c r="C120" s="54">
        <f>21648.53</f>
        <v>21648.53</v>
      </c>
      <c r="D120" s="54">
        <f>35859.7+75859.74+54194.51+69522.94+64655.39+83343.38+98861.69+64984.91+132272.22+89848.07+76524.42</f>
        <v>845926.97000000009</v>
      </c>
      <c r="E120" s="54">
        <f t="shared" si="1"/>
        <v>867575.50000000012</v>
      </c>
      <c r="F120" s="55">
        <f>54675.21+24432.08+2000</f>
        <v>81107.290000000008</v>
      </c>
      <c r="G120" s="159">
        <v>21648.53</v>
      </c>
      <c r="H120" s="13">
        <f t="shared" si="2"/>
        <v>0</v>
      </c>
    </row>
    <row r="121" spans="1:10" s="172" customFormat="1" ht="47.25" customHeight="1" thickBot="1" x14ac:dyDescent="0.3">
      <c r="A121" s="176" t="s">
        <v>48</v>
      </c>
      <c r="B121" s="53">
        <f t="shared" si="0"/>
        <v>57738887.32</v>
      </c>
      <c r="C121" s="54">
        <f>60931.58+55.56</f>
        <v>60987.14</v>
      </c>
      <c r="D121" s="54">
        <f>4694065.13+4856361.32+4539598.43+4616529.73-55.56+4736946.14+4943933.79+4804347.62+4820458.53+4835603.52+4662310.44+5005487.18+5121481.25</f>
        <v>57637067.520000003</v>
      </c>
      <c r="E121" s="54">
        <f t="shared" si="1"/>
        <v>57698054.660000004</v>
      </c>
      <c r="F121" s="55">
        <f>101818.8+1</f>
        <v>101819.8</v>
      </c>
      <c r="G121" s="170">
        <v>60987.14</v>
      </c>
      <c r="H121" s="169">
        <f t="shared" si="2"/>
        <v>0</v>
      </c>
      <c r="I121" s="171"/>
      <c r="J121" s="171"/>
    </row>
    <row r="122" spans="1:10" s="11" customFormat="1" ht="55.5" customHeight="1" thickBot="1" x14ac:dyDescent="0.3">
      <c r="A122" s="56" t="s">
        <v>49</v>
      </c>
      <c r="B122" s="53">
        <f t="shared" si="0"/>
        <v>3087839.4499999997</v>
      </c>
      <c r="C122" s="54">
        <f>191462.35+4024.87</f>
        <v>195487.22</v>
      </c>
      <c r="D122" s="54">
        <f>73818.01+233864.78+250465.94+223602.45+276886.55+293058.15+266820.4+237860.07+323703.58+210041.04+260825.93+228459.17</f>
        <v>2879406.07</v>
      </c>
      <c r="E122" s="54">
        <f t="shared" si="1"/>
        <v>3074893.29</v>
      </c>
      <c r="F122" s="55">
        <f>207472.47+960.91</f>
        <v>208433.38</v>
      </c>
      <c r="G122" s="159">
        <v>195487.22</v>
      </c>
      <c r="H122" s="13">
        <f t="shared" si="2"/>
        <v>0</v>
      </c>
      <c r="J122" s="32"/>
    </row>
    <row r="123" spans="1:10" s="11" customFormat="1" ht="47.25" customHeight="1" thickBot="1" x14ac:dyDescent="0.3">
      <c r="A123" s="52" t="s">
        <v>50</v>
      </c>
      <c r="B123" s="53">
        <f t="shared" si="0"/>
        <v>0</v>
      </c>
      <c r="C123" s="54">
        <v>0</v>
      </c>
      <c r="D123" s="54">
        <v>0</v>
      </c>
      <c r="E123" s="54">
        <f t="shared" si="1"/>
        <v>0</v>
      </c>
      <c r="F123" s="55"/>
      <c r="G123" s="159">
        <v>0</v>
      </c>
      <c r="H123" s="13">
        <f t="shared" si="2"/>
        <v>0</v>
      </c>
    </row>
    <row r="124" spans="1:10" s="11" customFormat="1" ht="47.25" customHeight="1" thickBot="1" x14ac:dyDescent="0.3">
      <c r="A124" s="52" t="s">
        <v>51</v>
      </c>
      <c r="B124" s="53">
        <f t="shared" si="0"/>
        <v>344139.69</v>
      </c>
      <c r="C124" s="54">
        <f>24605.74+4900</f>
        <v>29505.74</v>
      </c>
      <c r="D124" s="54">
        <f>13405.74+61813.54+31848.54+62364.09+22163.66+25208.92+17858.92+26608.92+21378.64+14378.64+26825.2</f>
        <v>323854.81</v>
      </c>
      <c r="E124" s="54">
        <f t="shared" si="1"/>
        <v>353360.55</v>
      </c>
      <c r="F124" s="55">
        <f>9784.88+9800+700</f>
        <v>20284.879999999997</v>
      </c>
      <c r="G124" s="159">
        <v>29505.74</v>
      </c>
      <c r="H124" s="13">
        <f t="shared" si="2"/>
        <v>0</v>
      </c>
    </row>
    <row r="125" spans="1:10" s="11" customFormat="1" ht="47.25" customHeight="1" thickBot="1" x14ac:dyDescent="0.3">
      <c r="A125" s="52" t="s">
        <v>52</v>
      </c>
      <c r="B125" s="53">
        <f t="shared" si="0"/>
        <v>223019.61</v>
      </c>
      <c r="C125" s="54">
        <v>0</v>
      </c>
      <c r="D125" s="54">
        <f>143765.3+78959.75+232.98+61.58</f>
        <v>223019.61</v>
      </c>
      <c r="E125" s="54">
        <f t="shared" si="1"/>
        <v>223019.61</v>
      </c>
      <c r="F125" s="55"/>
      <c r="G125" s="159"/>
      <c r="H125" s="13">
        <f t="shared" si="2"/>
        <v>0</v>
      </c>
    </row>
    <row r="126" spans="1:10" s="11" customFormat="1" ht="47.25" customHeight="1" thickBot="1" x14ac:dyDescent="0.3">
      <c r="A126" s="52" t="s">
        <v>53</v>
      </c>
      <c r="B126" s="53">
        <f t="shared" si="0"/>
        <v>0</v>
      </c>
      <c r="C126" s="54">
        <v>0</v>
      </c>
      <c r="D126" s="54">
        <v>0</v>
      </c>
      <c r="E126" s="54">
        <f t="shared" si="1"/>
        <v>0</v>
      </c>
      <c r="F126" s="55"/>
      <c r="G126" s="159"/>
      <c r="H126" s="13">
        <f t="shared" si="2"/>
        <v>0</v>
      </c>
    </row>
    <row r="127" spans="1:10" s="11" customFormat="1" ht="54" customHeight="1" thickBot="1" x14ac:dyDescent="0.3">
      <c r="A127" s="56" t="s">
        <v>54</v>
      </c>
      <c r="B127" s="53">
        <f t="shared" si="0"/>
        <v>0</v>
      </c>
      <c r="C127" s="54">
        <v>0</v>
      </c>
      <c r="D127" s="54">
        <v>0</v>
      </c>
      <c r="E127" s="54">
        <f t="shared" si="1"/>
        <v>0</v>
      </c>
      <c r="F127" s="55"/>
      <c r="G127" s="159"/>
      <c r="H127" s="13">
        <f t="shared" si="2"/>
        <v>0</v>
      </c>
    </row>
    <row r="128" spans="1:10" s="11" customFormat="1" ht="47.25" customHeight="1" thickBot="1" x14ac:dyDescent="0.3">
      <c r="A128" s="52" t="s">
        <v>55</v>
      </c>
      <c r="B128" s="53">
        <f t="shared" si="0"/>
        <v>0</v>
      </c>
      <c r="C128" s="54">
        <v>0</v>
      </c>
      <c r="D128" s="54">
        <v>0</v>
      </c>
      <c r="E128" s="54">
        <f t="shared" si="1"/>
        <v>0</v>
      </c>
      <c r="F128" s="55"/>
      <c r="G128" s="159"/>
      <c r="H128" s="13">
        <f t="shared" si="2"/>
        <v>0</v>
      </c>
    </row>
    <row r="129" spans="1:253" s="11" customFormat="1" ht="55.5" customHeight="1" thickBot="1" x14ac:dyDescent="0.3">
      <c r="A129" s="56" t="s">
        <v>56</v>
      </c>
      <c r="B129" s="53">
        <f t="shared" si="0"/>
        <v>47957.310000000005</v>
      </c>
      <c r="C129" s="54">
        <v>0</v>
      </c>
      <c r="D129" s="54">
        <f>3763.8+3952+3991+4004+3939+3991+3965+3952+4208.6+4247.8+4140.6+3802.51</f>
        <v>47957.310000000005</v>
      </c>
      <c r="E129" s="54">
        <f t="shared" si="1"/>
        <v>47957.310000000005</v>
      </c>
      <c r="F129" s="55"/>
      <c r="G129" s="159"/>
      <c r="H129" s="13">
        <f t="shared" si="2"/>
        <v>0</v>
      </c>
    </row>
    <row r="130" spans="1:253" s="11" customFormat="1" ht="47.25" customHeight="1" thickBot="1" x14ac:dyDescent="0.3">
      <c r="A130" s="52" t="s">
        <v>57</v>
      </c>
      <c r="B130" s="53">
        <f t="shared" si="0"/>
        <v>0</v>
      </c>
      <c r="C130" s="54">
        <v>0</v>
      </c>
      <c r="D130" s="54">
        <v>0</v>
      </c>
      <c r="E130" s="54">
        <f t="shared" si="1"/>
        <v>0</v>
      </c>
      <c r="F130" s="55"/>
      <c r="G130" s="159"/>
      <c r="H130" s="13">
        <f t="shared" si="2"/>
        <v>0</v>
      </c>
    </row>
    <row r="131" spans="1:253" s="11" customFormat="1" ht="47.25" customHeight="1" thickBot="1" x14ac:dyDescent="0.3">
      <c r="A131" s="57" t="s">
        <v>0</v>
      </c>
      <c r="B131" s="58">
        <f t="shared" ref="B131:F131" si="3">SUM(B115:B130)</f>
        <v>76701483.200000003</v>
      </c>
      <c r="C131" s="58">
        <f t="shared" si="3"/>
        <v>3007805.1300000004</v>
      </c>
      <c r="D131" s="58">
        <f t="shared" si="3"/>
        <v>74957311.879999995</v>
      </c>
      <c r="E131" s="58">
        <f t="shared" si="3"/>
        <v>77965117.010000005</v>
      </c>
      <c r="F131" s="58">
        <f t="shared" si="3"/>
        <v>1744171.3199999998</v>
      </c>
      <c r="G131" s="159">
        <f>SUM(G115:G130)</f>
        <v>3007805.1300000004</v>
      </c>
      <c r="H131" s="13">
        <f t="shared" si="2"/>
        <v>0</v>
      </c>
    </row>
    <row r="132" spans="1:253" s="60" customFormat="1" ht="30" customHeight="1" x14ac:dyDescent="0.25">
      <c r="A132" s="34" t="s">
        <v>58</v>
      </c>
      <c r="B132" s="35"/>
      <c r="C132" s="35"/>
      <c r="D132" s="35"/>
      <c r="E132" s="59"/>
      <c r="F132" s="1"/>
      <c r="G132" s="12"/>
      <c r="H132" s="13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</row>
    <row r="133" spans="1:253" s="60" customFormat="1" ht="30" customHeight="1" x14ac:dyDescent="0.25">
      <c r="A133" s="34" t="s">
        <v>59</v>
      </c>
      <c r="B133" s="35"/>
      <c r="C133" s="61"/>
      <c r="D133" s="62"/>
      <c r="E133" s="63"/>
      <c r="F133" s="1"/>
      <c r="G133" s="12"/>
      <c r="H133" s="13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</row>
    <row r="134" spans="1:253" s="60" customFormat="1" ht="30" customHeight="1" x14ac:dyDescent="0.25">
      <c r="A134" s="34" t="s">
        <v>60</v>
      </c>
      <c r="B134" s="35"/>
      <c r="C134" s="61"/>
      <c r="D134" s="64"/>
      <c r="E134" s="63"/>
      <c r="F134" s="1"/>
      <c r="G134" s="12"/>
      <c r="H134" s="13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</row>
    <row r="135" spans="1:253" s="60" customFormat="1" ht="30" customHeight="1" x14ac:dyDescent="0.25">
      <c r="A135" s="34" t="s">
        <v>61</v>
      </c>
      <c r="B135" s="35"/>
      <c r="C135" s="35"/>
      <c r="D135" s="35"/>
      <c r="E135" s="59"/>
      <c r="F135" s="1"/>
      <c r="G135" s="12"/>
      <c r="H135" s="13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</row>
    <row r="136" spans="1:253" s="60" customFormat="1" ht="30" customHeight="1" x14ac:dyDescent="0.25">
      <c r="A136" s="34" t="s">
        <v>62</v>
      </c>
      <c r="B136" s="35"/>
      <c r="C136" s="35"/>
      <c r="D136" s="35"/>
      <c r="E136" s="59"/>
      <c r="F136" s="1"/>
      <c r="G136" s="12"/>
      <c r="H136" s="13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</row>
    <row r="137" spans="1:253" s="60" customFormat="1" ht="30" customHeight="1" x14ac:dyDescent="0.25">
      <c r="A137" s="34" t="s">
        <v>63</v>
      </c>
      <c r="B137" s="35"/>
      <c r="C137" s="35"/>
      <c r="D137" s="35"/>
      <c r="E137" s="59"/>
      <c r="F137" s="1"/>
      <c r="G137" s="12"/>
      <c r="H137" s="13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</row>
    <row r="138" spans="1:253" s="60" customFormat="1" ht="30" customHeight="1" x14ac:dyDescent="0.25">
      <c r="A138" s="65" t="s">
        <v>64</v>
      </c>
      <c r="B138" s="65"/>
      <c r="C138" s="65"/>
      <c r="D138" s="66"/>
      <c r="E138" s="67"/>
      <c r="F138" s="11"/>
      <c r="G138" s="12"/>
      <c r="H138" s="13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</row>
    <row r="139" spans="1:253" s="60" customFormat="1" ht="30" customHeight="1" x14ac:dyDescent="0.25">
      <c r="A139" s="65" t="s">
        <v>65</v>
      </c>
      <c r="B139" s="65"/>
      <c r="C139" s="65"/>
      <c r="D139" s="68"/>
      <c r="E139" s="67"/>
      <c r="F139" s="11"/>
      <c r="G139" s="12"/>
      <c r="H139" s="13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</row>
    <row r="140" spans="1:253" s="60" customFormat="1" ht="30" customHeight="1" x14ac:dyDescent="0.25">
      <c r="A140" s="65" t="s">
        <v>66</v>
      </c>
      <c r="B140" s="65"/>
      <c r="C140" s="65"/>
      <c r="D140" s="65"/>
      <c r="E140" s="67"/>
      <c r="F140" s="11"/>
      <c r="G140" s="12"/>
      <c r="H140" s="13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</row>
    <row r="141" spans="1:253" s="60" customFormat="1" ht="30" customHeight="1" x14ac:dyDescent="0.25">
      <c r="A141" s="65" t="s">
        <v>67</v>
      </c>
      <c r="B141" s="65"/>
      <c r="C141" s="65"/>
      <c r="D141" s="65"/>
      <c r="E141" s="67"/>
      <c r="F141" s="11"/>
      <c r="G141" s="12"/>
      <c r="H141" s="13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</row>
    <row r="142" spans="1:253" s="60" customFormat="1" ht="30" customHeight="1" x14ac:dyDescent="0.25">
      <c r="A142" s="65"/>
      <c r="B142" s="65"/>
      <c r="C142" s="65"/>
      <c r="D142" s="65"/>
      <c r="E142" s="67"/>
      <c r="F142" s="11"/>
      <c r="G142" s="12"/>
      <c r="H142" s="13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</row>
    <row r="143" spans="1:253" s="60" customFormat="1" ht="30" customHeight="1" x14ac:dyDescent="0.25">
      <c r="A143" s="34" t="s">
        <v>68</v>
      </c>
      <c r="B143" s="35"/>
      <c r="C143" s="35"/>
      <c r="D143" s="35"/>
      <c r="E143" s="59"/>
      <c r="F143" s="1"/>
      <c r="G143" s="12"/>
      <c r="H143" s="13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</row>
    <row r="144" spans="1:253" s="60" customFormat="1" ht="30" customHeight="1" x14ac:dyDescent="0.25">
      <c r="A144" s="34"/>
      <c r="B144" s="35"/>
      <c r="C144" s="35"/>
      <c r="D144" s="35"/>
      <c r="E144" s="59"/>
      <c r="F144" s="1"/>
      <c r="G144" s="12"/>
      <c r="H144" s="13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</row>
    <row r="145" spans="1:253" s="60" customFormat="1" ht="30" customHeight="1" x14ac:dyDescent="0.25">
      <c r="A145" s="34"/>
      <c r="B145" s="35"/>
      <c r="C145" s="35"/>
      <c r="D145" s="35"/>
      <c r="E145" s="59"/>
      <c r="F145" s="1"/>
      <c r="G145" s="12"/>
      <c r="H145" s="13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</row>
    <row r="146" spans="1:253" s="60" customFormat="1" ht="30" customHeight="1" x14ac:dyDescent="0.25">
      <c r="A146" s="34"/>
      <c r="B146" s="35"/>
      <c r="C146" s="35"/>
      <c r="D146" s="35"/>
      <c r="E146" s="59"/>
      <c r="F146" s="1"/>
      <c r="G146" s="12"/>
      <c r="H146" s="13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</row>
    <row r="147" spans="1:253" s="60" customFormat="1" ht="30" customHeight="1" x14ac:dyDescent="0.25">
      <c r="A147" s="34"/>
      <c r="B147" s="35"/>
      <c r="C147" s="35"/>
      <c r="D147" s="35"/>
      <c r="E147" s="59"/>
      <c r="F147" s="1"/>
      <c r="G147" s="12"/>
      <c r="H147" s="13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</row>
    <row r="148" spans="1:253" ht="30" customHeight="1" x14ac:dyDescent="0.25">
      <c r="A148" s="34"/>
      <c r="B148" s="35"/>
      <c r="C148" s="35"/>
      <c r="D148" s="35"/>
      <c r="E148" s="59"/>
    </row>
    <row r="149" spans="1:253" ht="30" customHeight="1" x14ac:dyDescent="0.25">
      <c r="A149" s="34"/>
      <c r="B149" s="35"/>
      <c r="C149" s="35"/>
      <c r="D149" s="35"/>
      <c r="E149" s="59"/>
    </row>
    <row r="150" spans="1:253" ht="30" customHeight="1" x14ac:dyDescent="0.25">
      <c r="A150" s="34"/>
      <c r="B150" s="35"/>
      <c r="C150" s="35"/>
      <c r="D150" s="35"/>
      <c r="E150" s="59"/>
    </row>
    <row r="151" spans="1:253" ht="30" customHeight="1" x14ac:dyDescent="0.25">
      <c r="A151" s="34"/>
      <c r="B151" s="35"/>
      <c r="C151" s="35"/>
      <c r="D151" s="35"/>
      <c r="E151" s="59"/>
    </row>
    <row r="152" spans="1:253" ht="30" customHeight="1" x14ac:dyDescent="0.25">
      <c r="A152" s="34"/>
      <c r="B152" s="35"/>
      <c r="C152" s="35"/>
      <c r="D152" s="35"/>
      <c r="E152" s="59"/>
    </row>
    <row r="153" spans="1:253" ht="30" customHeight="1" x14ac:dyDescent="0.25">
      <c r="A153" s="34"/>
      <c r="B153" s="35"/>
      <c r="C153" s="35"/>
      <c r="D153" s="35"/>
      <c r="E153" s="59"/>
    </row>
    <row r="154" spans="1:253" ht="30" customHeight="1" x14ac:dyDescent="0.25">
      <c r="A154" s="34"/>
      <c r="B154" s="35"/>
      <c r="C154" s="35"/>
      <c r="D154" s="35"/>
      <c r="E154" s="59"/>
    </row>
    <row r="155" spans="1:253" ht="30" customHeight="1" x14ac:dyDescent="0.25">
      <c r="A155" s="34"/>
      <c r="B155" s="35"/>
      <c r="C155" s="35"/>
      <c r="D155" s="35"/>
      <c r="E155" s="59"/>
    </row>
    <row r="156" spans="1:253" ht="30" customHeight="1" thickBot="1" x14ac:dyDescent="0.3">
      <c r="A156" s="207"/>
      <c r="B156" s="207"/>
      <c r="C156" s="207"/>
      <c r="D156" s="207"/>
      <c r="E156" s="207"/>
      <c r="F156" s="207"/>
    </row>
    <row r="157" spans="1:253" s="11" customFormat="1" ht="38.25" customHeight="1" thickBot="1" x14ac:dyDescent="0.3">
      <c r="A157" s="208" t="s">
        <v>69</v>
      </c>
      <c r="B157" s="209"/>
      <c r="C157" s="209"/>
      <c r="D157" s="209"/>
      <c r="E157" s="209"/>
      <c r="F157" s="210"/>
      <c r="G157" s="12"/>
      <c r="H157" s="13"/>
    </row>
    <row r="158" spans="1:253" s="11" customFormat="1" ht="38.25" customHeight="1" thickBot="1" x14ac:dyDescent="0.3">
      <c r="A158" s="195" t="s">
        <v>70</v>
      </c>
      <c r="B158" s="196"/>
      <c r="C158" s="196"/>
      <c r="D158" s="197"/>
      <c r="E158" s="185">
        <f>E89</f>
        <v>81234094.620000005</v>
      </c>
      <c r="F158" s="186"/>
      <c r="G158" s="12"/>
      <c r="H158" s="13"/>
    </row>
    <row r="159" spans="1:253" s="11" customFormat="1" ht="38.25" customHeight="1" thickBot="1" x14ac:dyDescent="0.3">
      <c r="A159" s="195" t="s">
        <v>71</v>
      </c>
      <c r="B159" s="196"/>
      <c r="C159" s="196"/>
      <c r="D159" s="197"/>
      <c r="E159" s="185">
        <f>C131+D131</f>
        <v>77965117.00999999</v>
      </c>
      <c r="F159" s="186"/>
      <c r="G159" s="12"/>
      <c r="H159" s="13"/>
    </row>
    <row r="160" spans="1:253" s="11" customFormat="1" ht="38.25" customHeight="1" thickBot="1" x14ac:dyDescent="0.3">
      <c r="A160" s="195" t="s">
        <v>72</v>
      </c>
      <c r="B160" s="196"/>
      <c r="C160" s="196"/>
      <c r="D160" s="197"/>
      <c r="E160" s="201">
        <f>E86-(E159-E88)</f>
        <v>3268977.6100000143</v>
      </c>
      <c r="F160" s="202"/>
      <c r="G160" s="12"/>
      <c r="H160" s="13"/>
    </row>
    <row r="161" spans="1:8" s="11" customFormat="1" ht="38.25" customHeight="1" thickBot="1" x14ac:dyDescent="0.3">
      <c r="A161" s="195" t="s">
        <v>73</v>
      </c>
      <c r="B161" s="196"/>
      <c r="C161" s="196"/>
      <c r="D161" s="197"/>
      <c r="E161" s="211">
        <v>0</v>
      </c>
      <c r="F161" s="212"/>
      <c r="G161" s="12"/>
      <c r="H161" s="13"/>
    </row>
    <row r="162" spans="1:8" s="11" customFormat="1" ht="38.25" customHeight="1" thickBot="1" x14ac:dyDescent="0.3">
      <c r="A162" s="195" t="s">
        <v>74</v>
      </c>
      <c r="B162" s="196"/>
      <c r="C162" s="196"/>
      <c r="D162" s="197"/>
      <c r="E162" s="185">
        <f>E160-E161</f>
        <v>3268977.6100000143</v>
      </c>
      <c r="F162" s="186"/>
      <c r="G162" s="12">
        <v>3268977.61</v>
      </c>
      <c r="H162" s="13"/>
    </row>
    <row r="163" spans="1:8" ht="30" customHeight="1" x14ac:dyDescent="0.25">
      <c r="A163" s="38"/>
      <c r="B163" s="37"/>
      <c r="C163" s="37"/>
      <c r="D163" s="37"/>
      <c r="G163" s="12">
        <f>G162-E162</f>
        <v>-1.4435499906539917E-8</v>
      </c>
    </row>
    <row r="164" spans="1:8" ht="30" customHeight="1" x14ac:dyDescent="0.25">
      <c r="A164" s="214" t="s">
        <v>75</v>
      </c>
      <c r="B164" s="214"/>
      <c r="C164" s="214"/>
      <c r="D164" s="214"/>
      <c r="E164" s="214"/>
      <c r="F164" s="214"/>
    </row>
    <row r="165" spans="1:8" ht="30" customHeight="1" x14ac:dyDescent="0.25">
      <c r="A165" s="214"/>
      <c r="B165" s="214"/>
      <c r="C165" s="214"/>
      <c r="D165" s="214"/>
      <c r="E165" s="214"/>
      <c r="F165" s="214"/>
    </row>
    <row r="166" spans="1:8" ht="30" customHeight="1" x14ac:dyDescent="0.25">
      <c r="A166" s="69"/>
      <c r="B166" s="69"/>
      <c r="C166" s="69"/>
      <c r="D166" s="69"/>
      <c r="E166" s="69"/>
      <c r="F166" s="69"/>
    </row>
    <row r="167" spans="1:8" ht="30" customHeight="1" x14ac:dyDescent="0.25">
      <c r="A167" s="69"/>
      <c r="B167" s="69"/>
      <c r="C167" s="69"/>
      <c r="D167" s="69"/>
      <c r="E167" s="69"/>
      <c r="F167" s="69"/>
    </row>
    <row r="168" spans="1:8" ht="30" customHeight="1" x14ac:dyDescent="0.25">
      <c r="A168" s="69"/>
      <c r="B168" s="69"/>
      <c r="C168" s="69"/>
      <c r="D168" s="69"/>
      <c r="E168" s="69"/>
      <c r="F168" s="69"/>
    </row>
    <row r="169" spans="1:8" ht="30" customHeight="1" x14ac:dyDescent="0.25">
      <c r="A169" s="69"/>
      <c r="B169" s="69"/>
      <c r="C169" s="69"/>
      <c r="D169" s="69"/>
      <c r="E169" s="69"/>
      <c r="F169" s="69"/>
    </row>
    <row r="170" spans="1:8" ht="30" customHeight="1" x14ac:dyDescent="0.25">
      <c r="A170" s="70"/>
      <c r="B170" s="71"/>
      <c r="C170" s="71"/>
      <c r="D170" s="71"/>
      <c r="E170" s="72"/>
      <c r="F170" s="11"/>
    </row>
    <row r="171" spans="1:8" ht="30" customHeight="1" x14ac:dyDescent="0.25">
      <c r="A171" s="73" t="s">
        <v>144</v>
      </c>
      <c r="B171" s="74"/>
      <c r="C171" s="74"/>
      <c r="D171" s="74"/>
      <c r="E171" s="75"/>
      <c r="F171" s="76"/>
    </row>
    <row r="172" spans="1:8" ht="30" customHeight="1" x14ac:dyDescent="0.25">
      <c r="A172" s="73"/>
      <c r="B172" s="74"/>
      <c r="C172" s="74"/>
      <c r="D172" s="74"/>
      <c r="E172" s="75"/>
      <c r="F172" s="76"/>
    </row>
    <row r="173" spans="1:8" ht="30" customHeight="1" x14ac:dyDescent="0.25">
      <c r="A173" s="73"/>
      <c r="B173" s="74"/>
      <c r="C173" s="74"/>
      <c r="D173" s="74"/>
      <c r="E173" s="75"/>
      <c r="F173" s="76"/>
    </row>
    <row r="174" spans="1:8" ht="30" customHeight="1" x14ac:dyDescent="0.25">
      <c r="A174" s="73"/>
      <c r="B174" s="74"/>
      <c r="C174" s="74"/>
      <c r="D174" s="74"/>
      <c r="E174" s="75"/>
      <c r="F174" s="76"/>
    </row>
    <row r="175" spans="1:8" ht="30" customHeight="1" x14ac:dyDescent="0.25">
      <c r="A175" s="73"/>
      <c r="B175" s="74"/>
      <c r="C175" s="74"/>
      <c r="D175" s="74"/>
      <c r="E175" s="75"/>
      <c r="F175" s="76"/>
    </row>
    <row r="176" spans="1:8" ht="30" customHeight="1" x14ac:dyDescent="0.25">
      <c r="A176" s="73"/>
      <c r="B176" s="74"/>
      <c r="C176" s="74"/>
      <c r="D176" s="74"/>
      <c r="E176" s="75"/>
      <c r="F176" s="76"/>
    </row>
    <row r="177" spans="2:8" s="82" customFormat="1" ht="30" customHeight="1" x14ac:dyDescent="0.4">
      <c r="B177" s="79" t="s">
        <v>193</v>
      </c>
      <c r="C177" s="5"/>
      <c r="D177" s="79" t="s">
        <v>192</v>
      </c>
      <c r="E177" s="5"/>
      <c r="G177" s="80"/>
      <c r="H177" s="81"/>
    </row>
    <row r="178" spans="2:8" s="82" customFormat="1" ht="30" customHeight="1" x14ac:dyDescent="0.4">
      <c r="B178" s="78" t="s">
        <v>194</v>
      </c>
      <c r="C178" s="5"/>
      <c r="D178" s="78" t="s">
        <v>191</v>
      </c>
      <c r="E178" s="5"/>
      <c r="G178" s="80"/>
      <c r="H178" s="81"/>
    </row>
    <row r="179" spans="2:8" s="83" customFormat="1" ht="30" customHeight="1" x14ac:dyDescent="0.4">
      <c r="B179" s="84"/>
      <c r="C179" s="84"/>
      <c r="D179" s="84"/>
      <c r="E179" s="84"/>
      <c r="F179" s="6"/>
      <c r="G179" s="80"/>
      <c r="H179" s="81"/>
    </row>
    <row r="180" spans="2:8" s="83" customFormat="1" ht="30" x14ac:dyDescent="0.4">
      <c r="B180" s="84"/>
      <c r="C180" s="84"/>
      <c r="D180" s="84"/>
      <c r="E180" s="84"/>
      <c r="F180" s="6"/>
      <c r="G180" s="80"/>
      <c r="H180" s="81"/>
    </row>
    <row r="181" spans="2:8" s="83" customFormat="1" ht="30" x14ac:dyDescent="0.4">
      <c r="B181" s="84"/>
      <c r="C181" s="84"/>
      <c r="D181" s="84"/>
      <c r="E181" s="84"/>
      <c r="F181" s="6"/>
      <c r="G181" s="80"/>
      <c r="H181" s="81"/>
    </row>
    <row r="182" spans="2:8" s="83" customFormat="1" ht="30" x14ac:dyDescent="0.4">
      <c r="B182" s="84"/>
      <c r="C182" s="84"/>
      <c r="D182" s="84"/>
      <c r="E182" s="84"/>
      <c r="F182" s="6"/>
      <c r="G182" s="80"/>
      <c r="H182" s="81"/>
    </row>
    <row r="183" spans="2:8" s="83" customFormat="1" ht="30" x14ac:dyDescent="0.4">
      <c r="B183" s="84"/>
      <c r="C183" s="84"/>
      <c r="D183" s="84"/>
      <c r="E183" s="84"/>
      <c r="F183" s="6"/>
      <c r="G183" s="80"/>
      <c r="H183" s="81"/>
    </row>
    <row r="184" spans="2:8" s="83" customFormat="1" ht="30" x14ac:dyDescent="0.4">
      <c r="B184" s="84"/>
      <c r="C184" s="86" t="s">
        <v>76</v>
      </c>
      <c r="E184" s="84"/>
      <c r="F184" s="6"/>
      <c r="G184" s="80"/>
      <c r="H184" s="81"/>
    </row>
    <row r="185" spans="2:8" s="83" customFormat="1" ht="30" x14ac:dyDescent="0.4">
      <c r="C185" s="215" t="s">
        <v>77</v>
      </c>
      <c r="D185" s="215"/>
      <c r="F185" s="6"/>
      <c r="G185" s="80"/>
      <c r="H185" s="81"/>
    </row>
    <row r="186" spans="2:8" s="83" customFormat="1" ht="30" x14ac:dyDescent="0.4">
      <c r="B186" s="85"/>
      <c r="F186" s="6"/>
      <c r="G186" s="80"/>
      <c r="H186" s="81"/>
    </row>
    <row r="187" spans="2:8" s="83" customFormat="1" ht="30" x14ac:dyDescent="0.4">
      <c r="B187" s="85"/>
      <c r="E187" s="84"/>
      <c r="F187" s="6"/>
      <c r="G187" s="80"/>
      <c r="H187" s="81"/>
    </row>
    <row r="192" spans="2:8" x14ac:dyDescent="0.25">
      <c r="E192" s="36"/>
    </row>
    <row r="195" spans="1:253" ht="30" x14ac:dyDescent="0.25">
      <c r="A195" s="87"/>
      <c r="B195" s="14"/>
      <c r="C195" s="14"/>
      <c r="D195" s="14"/>
      <c r="E195" s="11"/>
    </row>
    <row r="196" spans="1:253" ht="30" x14ac:dyDescent="0.25">
      <c r="A196" s="87"/>
      <c r="B196" s="14"/>
      <c r="C196" s="14"/>
      <c r="D196" s="14"/>
      <c r="E196" s="11"/>
    </row>
    <row r="199" spans="1:253" s="60" customFormat="1" ht="48.75" customHeight="1" x14ac:dyDescent="0.25">
      <c r="A199" s="15"/>
      <c r="B199" s="14"/>
      <c r="C199" s="14"/>
      <c r="D199" s="14"/>
      <c r="E199" s="11"/>
      <c r="F199" s="1"/>
      <c r="G199" s="12"/>
      <c r="H199" s="13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</row>
    <row r="200" spans="1:253" s="60" customFormat="1" ht="48.75" customHeight="1" x14ac:dyDescent="0.25">
      <c r="A200" s="15"/>
      <c r="B200" s="14"/>
      <c r="C200" s="14"/>
      <c r="D200" s="14"/>
      <c r="E200" s="11"/>
      <c r="F200" s="1"/>
      <c r="G200" s="12"/>
      <c r="H200" s="13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  <c r="IO200" s="14"/>
      <c r="IP200" s="14"/>
      <c r="IQ200" s="14"/>
      <c r="IR200" s="14"/>
      <c r="IS200" s="14"/>
    </row>
    <row r="206" spans="1:253" s="60" customFormat="1" ht="27" x14ac:dyDescent="0.25">
      <c r="A206" s="15"/>
      <c r="B206" s="14"/>
      <c r="C206" s="14"/>
      <c r="D206" s="14"/>
      <c r="E206" s="11"/>
      <c r="F206" s="7"/>
      <c r="G206" s="12"/>
      <c r="H206" s="13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  <c r="DN206" s="14"/>
      <c r="DO206" s="14"/>
      <c r="DP206" s="14"/>
      <c r="DQ206" s="14"/>
      <c r="DR206" s="14"/>
      <c r="DS206" s="14"/>
      <c r="DT206" s="14"/>
      <c r="DU206" s="14"/>
      <c r="DV206" s="14"/>
      <c r="DW206" s="14"/>
      <c r="DX206" s="14"/>
      <c r="DY206" s="14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14"/>
      <c r="EK206" s="14"/>
      <c r="EL206" s="14"/>
      <c r="EM206" s="14"/>
      <c r="EN206" s="14"/>
      <c r="EO206" s="14"/>
      <c r="EP206" s="14"/>
      <c r="EQ206" s="14"/>
      <c r="ER206" s="14"/>
      <c r="ES206" s="14"/>
      <c r="ET206" s="14"/>
      <c r="EU206" s="14"/>
      <c r="EV206" s="14"/>
      <c r="EW206" s="14"/>
      <c r="EX206" s="14"/>
      <c r="EY206" s="14"/>
      <c r="EZ206" s="14"/>
      <c r="FA206" s="14"/>
      <c r="FB206" s="14"/>
      <c r="FC206" s="14"/>
      <c r="FD206" s="14"/>
      <c r="FE206" s="14"/>
      <c r="FF206" s="14"/>
      <c r="FG206" s="14"/>
      <c r="FH206" s="14"/>
      <c r="FI206" s="14"/>
      <c r="FJ206" s="14"/>
      <c r="FK206" s="14"/>
      <c r="FL206" s="14"/>
      <c r="FM206" s="14"/>
      <c r="FN206" s="14"/>
      <c r="FO206" s="14"/>
      <c r="FP206" s="14"/>
      <c r="FQ206" s="14"/>
      <c r="FR206" s="14"/>
      <c r="FS206" s="14"/>
      <c r="FT206" s="14"/>
      <c r="FU206" s="14"/>
      <c r="FV206" s="14"/>
      <c r="FW206" s="14"/>
      <c r="FX206" s="14"/>
      <c r="FY206" s="14"/>
      <c r="FZ206" s="14"/>
      <c r="GA206" s="14"/>
      <c r="GB206" s="14"/>
      <c r="GC206" s="14"/>
      <c r="GD206" s="14"/>
      <c r="GE206" s="14"/>
      <c r="GF206" s="14"/>
      <c r="GG206" s="14"/>
      <c r="GH206" s="14"/>
      <c r="GI206" s="14"/>
      <c r="GJ206" s="14"/>
      <c r="GK206" s="14"/>
      <c r="GL206" s="14"/>
      <c r="GM206" s="14"/>
      <c r="GN206" s="14"/>
      <c r="GO206" s="14"/>
      <c r="GP206" s="14"/>
      <c r="GQ206" s="14"/>
      <c r="GR206" s="14"/>
      <c r="GS206" s="14"/>
      <c r="GT206" s="14"/>
      <c r="GU206" s="14"/>
      <c r="GV206" s="14"/>
      <c r="GW206" s="14"/>
      <c r="GX206" s="14"/>
      <c r="GY206" s="14"/>
      <c r="GZ206" s="14"/>
      <c r="HA206" s="14"/>
      <c r="HB206" s="14"/>
      <c r="HC206" s="14"/>
      <c r="HD206" s="14"/>
      <c r="HE206" s="14"/>
      <c r="HF206" s="14"/>
      <c r="HG206" s="14"/>
      <c r="HH206" s="14"/>
      <c r="HI206" s="14"/>
      <c r="HJ206" s="14"/>
      <c r="HK206" s="14"/>
      <c r="HL206" s="14"/>
      <c r="HM206" s="14"/>
      <c r="HN206" s="14"/>
      <c r="HO206" s="14"/>
      <c r="HP206" s="14"/>
      <c r="HQ206" s="14"/>
      <c r="HR206" s="14"/>
      <c r="HS206" s="14"/>
      <c r="HT206" s="14"/>
      <c r="HU206" s="14"/>
      <c r="HV206" s="14"/>
      <c r="HW206" s="14"/>
      <c r="HX206" s="14"/>
      <c r="HY206" s="14"/>
      <c r="HZ206" s="14"/>
      <c r="IA206" s="14"/>
      <c r="IB206" s="14"/>
      <c r="IC206" s="14"/>
      <c r="ID206" s="14"/>
      <c r="IE206" s="14"/>
      <c r="IF206" s="14"/>
      <c r="IG206" s="14"/>
      <c r="IH206" s="14"/>
      <c r="II206" s="14"/>
      <c r="IJ206" s="14"/>
      <c r="IK206" s="14"/>
      <c r="IL206" s="14"/>
      <c r="IM206" s="14"/>
      <c r="IN206" s="14"/>
      <c r="IO206" s="14"/>
      <c r="IP206" s="14"/>
      <c r="IQ206" s="14"/>
      <c r="IR206" s="14"/>
      <c r="IS206" s="14"/>
    </row>
    <row r="207" spans="1:253" s="60" customFormat="1" ht="27" x14ac:dyDescent="0.25">
      <c r="A207" s="14"/>
      <c r="B207" s="14"/>
      <c r="C207" s="14"/>
      <c r="D207" s="14"/>
      <c r="E207" s="11"/>
      <c r="F207" s="8"/>
      <c r="G207" s="12"/>
      <c r="H207" s="13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  <c r="DN207" s="14"/>
      <c r="DO207" s="14"/>
      <c r="DP207" s="14"/>
      <c r="DQ207" s="14"/>
      <c r="DR207" s="14"/>
      <c r="DS207" s="14"/>
      <c r="DT207" s="14"/>
      <c r="DU207" s="14"/>
      <c r="DV207" s="14"/>
      <c r="DW207" s="14"/>
      <c r="DX207" s="14"/>
      <c r="DY207" s="14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14"/>
      <c r="EK207" s="14"/>
      <c r="EL207" s="14"/>
      <c r="EM207" s="14"/>
      <c r="EN207" s="14"/>
      <c r="EO207" s="14"/>
      <c r="EP207" s="14"/>
      <c r="EQ207" s="14"/>
      <c r="ER207" s="14"/>
      <c r="ES207" s="14"/>
      <c r="ET207" s="14"/>
      <c r="EU207" s="14"/>
      <c r="EV207" s="14"/>
      <c r="EW207" s="14"/>
      <c r="EX207" s="14"/>
      <c r="EY207" s="14"/>
      <c r="EZ207" s="14"/>
      <c r="FA207" s="14"/>
      <c r="FB207" s="14"/>
      <c r="FC207" s="14"/>
      <c r="FD207" s="14"/>
      <c r="FE207" s="14"/>
      <c r="FF207" s="14"/>
      <c r="FG207" s="14"/>
      <c r="FH207" s="14"/>
      <c r="FI207" s="14"/>
      <c r="FJ207" s="14"/>
      <c r="FK207" s="14"/>
      <c r="FL207" s="14"/>
      <c r="FM207" s="14"/>
      <c r="FN207" s="14"/>
      <c r="FO207" s="14"/>
      <c r="FP207" s="14"/>
      <c r="FQ207" s="14"/>
      <c r="FR207" s="14"/>
      <c r="FS207" s="14"/>
      <c r="FT207" s="14"/>
      <c r="FU207" s="14"/>
      <c r="FV207" s="14"/>
      <c r="FW207" s="14"/>
      <c r="FX207" s="14"/>
      <c r="FY207" s="14"/>
      <c r="FZ207" s="14"/>
      <c r="GA207" s="14"/>
      <c r="GB207" s="14"/>
      <c r="GC207" s="14"/>
      <c r="GD207" s="14"/>
      <c r="GE207" s="14"/>
      <c r="GF207" s="14"/>
      <c r="GG207" s="14"/>
      <c r="GH207" s="14"/>
      <c r="GI207" s="14"/>
      <c r="GJ207" s="14"/>
      <c r="GK207" s="14"/>
      <c r="GL207" s="14"/>
      <c r="GM207" s="14"/>
      <c r="GN207" s="14"/>
      <c r="GO207" s="14"/>
      <c r="GP207" s="14"/>
      <c r="GQ207" s="14"/>
      <c r="GR207" s="14"/>
      <c r="GS207" s="14"/>
      <c r="GT207" s="14"/>
      <c r="GU207" s="14"/>
      <c r="GV207" s="14"/>
      <c r="GW207" s="14"/>
      <c r="GX207" s="14"/>
      <c r="GY207" s="14"/>
      <c r="GZ207" s="14"/>
      <c r="HA207" s="14"/>
      <c r="HB207" s="14"/>
      <c r="HC207" s="14"/>
      <c r="HD207" s="14"/>
      <c r="HE207" s="14"/>
      <c r="HF207" s="14"/>
      <c r="HG207" s="14"/>
      <c r="HH207" s="14"/>
      <c r="HI207" s="14"/>
      <c r="HJ207" s="14"/>
      <c r="HK207" s="14"/>
      <c r="HL207" s="14"/>
      <c r="HM207" s="14"/>
      <c r="HN207" s="14"/>
      <c r="HO207" s="14"/>
      <c r="HP207" s="14"/>
      <c r="HQ207" s="14"/>
      <c r="HR207" s="14"/>
      <c r="HS207" s="14"/>
      <c r="HT207" s="14"/>
      <c r="HU207" s="14"/>
      <c r="HV207" s="14"/>
      <c r="HW207" s="14"/>
      <c r="HX207" s="14"/>
      <c r="HY207" s="14"/>
      <c r="HZ207" s="14"/>
      <c r="IA207" s="14"/>
      <c r="IB207" s="14"/>
      <c r="IC207" s="14"/>
      <c r="ID207" s="14"/>
      <c r="IE207" s="14"/>
      <c r="IF207" s="14"/>
      <c r="IG207" s="14"/>
      <c r="IH207" s="14"/>
      <c r="II207" s="14"/>
      <c r="IJ207" s="14"/>
      <c r="IK207" s="14"/>
      <c r="IL207" s="14"/>
      <c r="IM207" s="14"/>
      <c r="IN207" s="14"/>
      <c r="IO207" s="14"/>
      <c r="IP207" s="14"/>
      <c r="IQ207" s="14"/>
      <c r="IR207" s="14"/>
      <c r="IS207" s="14"/>
    </row>
    <row r="209" spans="1:253" s="60" customFormat="1" ht="30" x14ac:dyDescent="0.25">
      <c r="A209" s="14"/>
      <c r="B209" s="87"/>
      <c r="C209" s="87"/>
      <c r="D209" s="87"/>
      <c r="E209" s="88"/>
      <c r="F209" s="1"/>
      <c r="G209" s="12"/>
      <c r="H209" s="13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  <c r="EN209" s="14"/>
      <c r="EO209" s="14"/>
      <c r="EP209" s="14"/>
      <c r="EQ209" s="14"/>
      <c r="ER209" s="14"/>
      <c r="ES209" s="14"/>
      <c r="ET209" s="14"/>
      <c r="EU209" s="14"/>
      <c r="EV209" s="14"/>
      <c r="EW209" s="14"/>
      <c r="EX209" s="14"/>
      <c r="EY209" s="14"/>
      <c r="EZ209" s="14"/>
      <c r="FA209" s="14"/>
      <c r="FB209" s="14"/>
      <c r="FC209" s="14"/>
      <c r="FD209" s="14"/>
      <c r="FE209" s="14"/>
      <c r="FF209" s="14"/>
      <c r="FG209" s="14"/>
      <c r="FH209" s="14"/>
      <c r="FI209" s="14"/>
      <c r="FJ209" s="14"/>
      <c r="FK209" s="14"/>
      <c r="FL209" s="14"/>
      <c r="FM209" s="14"/>
      <c r="FN209" s="14"/>
      <c r="FO209" s="14"/>
      <c r="FP209" s="14"/>
      <c r="FQ209" s="14"/>
      <c r="FR209" s="14"/>
      <c r="FS209" s="14"/>
      <c r="FT209" s="14"/>
      <c r="FU209" s="14"/>
      <c r="FV209" s="14"/>
      <c r="FW209" s="14"/>
      <c r="FX209" s="14"/>
      <c r="FY209" s="14"/>
      <c r="FZ209" s="14"/>
      <c r="GA209" s="14"/>
      <c r="GB209" s="14"/>
      <c r="GC209" s="14"/>
      <c r="GD209" s="14"/>
      <c r="GE209" s="14"/>
      <c r="GF209" s="14"/>
      <c r="GG209" s="14"/>
      <c r="GH209" s="14"/>
      <c r="GI209" s="14"/>
      <c r="GJ209" s="14"/>
      <c r="GK209" s="14"/>
      <c r="GL209" s="14"/>
      <c r="GM209" s="14"/>
      <c r="GN209" s="14"/>
      <c r="GO209" s="14"/>
      <c r="GP209" s="14"/>
      <c r="GQ209" s="14"/>
      <c r="GR209" s="14"/>
      <c r="GS209" s="14"/>
      <c r="GT209" s="14"/>
      <c r="GU209" s="14"/>
      <c r="GV209" s="14"/>
      <c r="GW209" s="14"/>
      <c r="GX209" s="14"/>
      <c r="GY209" s="14"/>
      <c r="GZ209" s="14"/>
      <c r="HA209" s="14"/>
      <c r="HB209" s="14"/>
      <c r="HC209" s="14"/>
      <c r="HD209" s="14"/>
      <c r="HE209" s="14"/>
      <c r="HF209" s="14"/>
      <c r="HG209" s="14"/>
      <c r="HH209" s="14"/>
      <c r="HI209" s="14"/>
      <c r="HJ209" s="14"/>
      <c r="HK209" s="14"/>
      <c r="HL209" s="14"/>
      <c r="HM209" s="14"/>
      <c r="HN209" s="14"/>
      <c r="HO209" s="14"/>
      <c r="HP209" s="14"/>
      <c r="HQ209" s="14"/>
      <c r="HR209" s="14"/>
      <c r="HS209" s="14"/>
      <c r="HT209" s="14"/>
      <c r="HU209" s="14"/>
      <c r="HV209" s="14"/>
      <c r="HW209" s="14"/>
      <c r="HX209" s="14"/>
      <c r="HY209" s="14"/>
      <c r="HZ209" s="14"/>
      <c r="IA209" s="14"/>
      <c r="IB209" s="14"/>
      <c r="IC209" s="14"/>
      <c r="ID209" s="14"/>
      <c r="IE209" s="14"/>
      <c r="IF209" s="14"/>
      <c r="IG209" s="14"/>
      <c r="IH209" s="14"/>
      <c r="II209" s="14"/>
      <c r="IJ209" s="14"/>
      <c r="IK209" s="14"/>
      <c r="IL209" s="14"/>
      <c r="IM209" s="14"/>
      <c r="IN209" s="14"/>
      <c r="IO209" s="14"/>
      <c r="IP209" s="14"/>
      <c r="IQ209" s="14"/>
      <c r="IR209" s="14"/>
      <c r="IS209" s="14"/>
    </row>
    <row r="210" spans="1:253" s="60" customFormat="1" ht="30" x14ac:dyDescent="0.25">
      <c r="A210" s="14"/>
      <c r="B210" s="87"/>
      <c r="C210" s="89"/>
      <c r="D210" s="90"/>
      <c r="E210" s="48"/>
      <c r="F210" s="1"/>
      <c r="G210" s="12"/>
      <c r="H210" s="13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  <c r="EN210" s="14"/>
      <c r="EO210" s="14"/>
      <c r="EP210" s="14"/>
      <c r="EQ210" s="14"/>
      <c r="ER210" s="14"/>
      <c r="ES210" s="14"/>
      <c r="ET210" s="14"/>
      <c r="EU210" s="14"/>
      <c r="EV210" s="14"/>
      <c r="EW210" s="14"/>
      <c r="EX210" s="14"/>
      <c r="EY210" s="14"/>
      <c r="EZ210" s="14"/>
      <c r="FA210" s="14"/>
      <c r="FB210" s="14"/>
      <c r="FC210" s="14"/>
      <c r="FD210" s="14"/>
      <c r="FE210" s="14"/>
      <c r="FF210" s="14"/>
      <c r="FG210" s="14"/>
      <c r="FH210" s="14"/>
      <c r="FI210" s="14"/>
      <c r="FJ210" s="14"/>
      <c r="FK210" s="14"/>
      <c r="FL210" s="14"/>
      <c r="FM210" s="14"/>
      <c r="FN210" s="14"/>
      <c r="FO210" s="14"/>
      <c r="FP210" s="14"/>
      <c r="FQ210" s="14"/>
      <c r="FR210" s="14"/>
      <c r="FS210" s="14"/>
      <c r="FT210" s="14"/>
      <c r="FU210" s="14"/>
      <c r="FV210" s="14"/>
      <c r="FW210" s="14"/>
      <c r="FX210" s="14"/>
      <c r="FY210" s="14"/>
      <c r="FZ210" s="14"/>
      <c r="GA210" s="14"/>
      <c r="GB210" s="14"/>
      <c r="GC210" s="14"/>
      <c r="GD210" s="14"/>
      <c r="GE210" s="14"/>
      <c r="GF210" s="14"/>
      <c r="GG210" s="14"/>
      <c r="GH210" s="14"/>
      <c r="GI210" s="14"/>
      <c r="GJ210" s="14"/>
      <c r="GK210" s="14"/>
      <c r="GL210" s="14"/>
      <c r="GM210" s="14"/>
      <c r="GN210" s="14"/>
      <c r="GO210" s="14"/>
      <c r="GP210" s="14"/>
      <c r="GQ210" s="14"/>
      <c r="GR210" s="14"/>
      <c r="GS210" s="14"/>
      <c r="GT210" s="14"/>
      <c r="GU210" s="14"/>
      <c r="GV210" s="14"/>
      <c r="GW210" s="14"/>
      <c r="GX210" s="14"/>
      <c r="GY210" s="14"/>
      <c r="GZ210" s="14"/>
      <c r="HA210" s="14"/>
      <c r="HB210" s="14"/>
      <c r="HC210" s="14"/>
      <c r="HD210" s="14"/>
      <c r="HE210" s="14"/>
      <c r="HF210" s="14"/>
      <c r="HG210" s="14"/>
      <c r="HH210" s="14"/>
      <c r="HI210" s="14"/>
      <c r="HJ210" s="14"/>
      <c r="HK210" s="14"/>
      <c r="HL210" s="14"/>
      <c r="HM210" s="14"/>
      <c r="HN210" s="14"/>
      <c r="HO210" s="14"/>
      <c r="HP210" s="14"/>
      <c r="HQ210" s="14"/>
      <c r="HR210" s="14"/>
      <c r="HS210" s="14"/>
      <c r="HT210" s="14"/>
      <c r="HU210" s="14"/>
      <c r="HV210" s="14"/>
      <c r="HW210" s="14"/>
      <c r="HX210" s="14"/>
      <c r="HY210" s="14"/>
      <c r="HZ210" s="14"/>
      <c r="IA210" s="14"/>
      <c r="IB210" s="14"/>
      <c r="IC210" s="14"/>
      <c r="ID210" s="14"/>
      <c r="IE210" s="14"/>
      <c r="IF210" s="14"/>
      <c r="IG210" s="14"/>
      <c r="IH210" s="14"/>
      <c r="II210" s="14"/>
      <c r="IJ210" s="14"/>
      <c r="IK210" s="14"/>
      <c r="IL210" s="14"/>
      <c r="IM210" s="14"/>
      <c r="IN210" s="14"/>
      <c r="IO210" s="14"/>
      <c r="IP210" s="14"/>
      <c r="IQ210" s="14"/>
      <c r="IR210" s="14"/>
      <c r="IS210" s="14"/>
    </row>
    <row r="213" spans="1:253" s="1" customFormat="1" ht="30" x14ac:dyDescent="0.25">
      <c r="A213" s="14"/>
      <c r="B213" s="213"/>
      <c r="C213" s="213"/>
      <c r="D213" s="87"/>
      <c r="E213" s="88"/>
      <c r="G213" s="12"/>
      <c r="H213" s="13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  <c r="EX213" s="14"/>
      <c r="EY213" s="14"/>
      <c r="EZ213" s="14"/>
      <c r="FA213" s="14"/>
      <c r="FB213" s="14"/>
      <c r="FC213" s="14"/>
      <c r="FD213" s="14"/>
      <c r="FE213" s="14"/>
      <c r="FF213" s="14"/>
      <c r="FG213" s="14"/>
      <c r="FH213" s="14"/>
      <c r="FI213" s="14"/>
      <c r="FJ213" s="14"/>
      <c r="FK213" s="14"/>
      <c r="FL213" s="14"/>
      <c r="FM213" s="14"/>
      <c r="FN213" s="14"/>
      <c r="FO213" s="14"/>
      <c r="FP213" s="14"/>
      <c r="FQ213" s="14"/>
      <c r="FR213" s="14"/>
      <c r="FS213" s="14"/>
      <c r="FT213" s="14"/>
      <c r="FU213" s="14"/>
      <c r="FV213" s="14"/>
      <c r="FW213" s="14"/>
      <c r="FX213" s="14"/>
      <c r="FY213" s="14"/>
      <c r="FZ213" s="14"/>
      <c r="GA213" s="14"/>
      <c r="GB213" s="14"/>
      <c r="GC213" s="14"/>
      <c r="GD213" s="14"/>
      <c r="GE213" s="14"/>
      <c r="GF213" s="14"/>
      <c r="GG213" s="14"/>
      <c r="GH213" s="14"/>
      <c r="GI213" s="14"/>
      <c r="GJ213" s="14"/>
      <c r="GK213" s="14"/>
      <c r="GL213" s="14"/>
      <c r="GM213" s="14"/>
      <c r="GN213" s="14"/>
      <c r="GO213" s="14"/>
      <c r="GP213" s="14"/>
      <c r="GQ213" s="14"/>
      <c r="GR213" s="14"/>
      <c r="GS213" s="14"/>
      <c r="GT213" s="14"/>
      <c r="GU213" s="14"/>
      <c r="GV213" s="14"/>
      <c r="GW213" s="14"/>
      <c r="GX213" s="14"/>
      <c r="GY213" s="14"/>
      <c r="GZ213" s="14"/>
      <c r="HA213" s="14"/>
      <c r="HB213" s="14"/>
      <c r="HC213" s="14"/>
      <c r="HD213" s="14"/>
      <c r="HE213" s="14"/>
      <c r="HF213" s="14"/>
      <c r="HG213" s="14"/>
      <c r="HH213" s="14"/>
      <c r="HI213" s="14"/>
      <c r="HJ213" s="14"/>
      <c r="HK213" s="14"/>
      <c r="HL213" s="14"/>
      <c r="HM213" s="14"/>
      <c r="HN213" s="14"/>
      <c r="HO213" s="14"/>
      <c r="HP213" s="14"/>
      <c r="HQ213" s="14"/>
      <c r="HR213" s="14"/>
      <c r="HS213" s="14"/>
      <c r="HT213" s="14"/>
      <c r="HU213" s="14"/>
      <c r="HV213" s="14"/>
      <c r="HW213" s="14"/>
      <c r="HX213" s="14"/>
      <c r="HY213" s="14"/>
      <c r="HZ213" s="14"/>
      <c r="IA213" s="14"/>
      <c r="IB213" s="14"/>
      <c r="IC213" s="14"/>
      <c r="ID213" s="14"/>
      <c r="IE213" s="14"/>
      <c r="IF213" s="14"/>
      <c r="IG213" s="14"/>
      <c r="IH213" s="14"/>
      <c r="II213" s="14"/>
      <c r="IJ213" s="14"/>
      <c r="IK213" s="14"/>
      <c r="IL213" s="14"/>
      <c r="IM213" s="14"/>
      <c r="IN213" s="14"/>
      <c r="IO213" s="14"/>
      <c r="IP213" s="14"/>
      <c r="IQ213" s="14"/>
      <c r="IR213" s="14"/>
      <c r="IS213" s="14"/>
    </row>
    <row r="214" spans="1:253" s="1" customFormat="1" ht="30" x14ac:dyDescent="0.25">
      <c r="A214" s="14"/>
      <c r="B214" s="213"/>
      <c r="C214" s="213"/>
      <c r="D214" s="213"/>
      <c r="E214" s="213"/>
      <c r="G214" s="12"/>
      <c r="H214" s="13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  <c r="EX214" s="14"/>
      <c r="EY214" s="14"/>
      <c r="EZ214" s="14"/>
      <c r="FA214" s="14"/>
      <c r="FB214" s="14"/>
      <c r="FC214" s="14"/>
      <c r="FD214" s="14"/>
      <c r="FE214" s="14"/>
      <c r="FF214" s="14"/>
      <c r="FG214" s="14"/>
      <c r="FH214" s="14"/>
      <c r="FI214" s="14"/>
      <c r="FJ214" s="14"/>
      <c r="FK214" s="14"/>
      <c r="FL214" s="14"/>
      <c r="FM214" s="14"/>
      <c r="FN214" s="14"/>
      <c r="FO214" s="14"/>
      <c r="FP214" s="14"/>
      <c r="FQ214" s="14"/>
      <c r="FR214" s="14"/>
      <c r="FS214" s="14"/>
      <c r="FT214" s="14"/>
      <c r="FU214" s="14"/>
      <c r="FV214" s="14"/>
      <c r="FW214" s="14"/>
      <c r="FX214" s="14"/>
      <c r="FY214" s="14"/>
      <c r="FZ214" s="14"/>
      <c r="GA214" s="14"/>
      <c r="GB214" s="14"/>
      <c r="GC214" s="14"/>
      <c r="GD214" s="14"/>
      <c r="GE214" s="14"/>
      <c r="GF214" s="14"/>
      <c r="GG214" s="14"/>
      <c r="GH214" s="14"/>
      <c r="GI214" s="14"/>
      <c r="GJ214" s="14"/>
      <c r="GK214" s="14"/>
      <c r="GL214" s="14"/>
      <c r="GM214" s="14"/>
      <c r="GN214" s="14"/>
      <c r="GO214" s="14"/>
      <c r="GP214" s="14"/>
      <c r="GQ214" s="14"/>
      <c r="GR214" s="14"/>
      <c r="GS214" s="14"/>
      <c r="GT214" s="14"/>
      <c r="GU214" s="14"/>
      <c r="GV214" s="14"/>
      <c r="GW214" s="14"/>
      <c r="GX214" s="14"/>
      <c r="GY214" s="14"/>
      <c r="GZ214" s="14"/>
      <c r="HA214" s="14"/>
      <c r="HB214" s="14"/>
      <c r="HC214" s="14"/>
      <c r="HD214" s="14"/>
      <c r="HE214" s="14"/>
      <c r="HF214" s="14"/>
      <c r="HG214" s="14"/>
      <c r="HH214" s="14"/>
      <c r="HI214" s="14"/>
      <c r="HJ214" s="14"/>
      <c r="HK214" s="14"/>
      <c r="HL214" s="14"/>
      <c r="HM214" s="14"/>
      <c r="HN214" s="14"/>
      <c r="HO214" s="14"/>
      <c r="HP214" s="14"/>
      <c r="HQ214" s="14"/>
      <c r="HR214" s="14"/>
      <c r="HS214" s="14"/>
      <c r="HT214" s="14"/>
      <c r="HU214" s="14"/>
      <c r="HV214" s="14"/>
      <c r="HW214" s="14"/>
      <c r="HX214" s="14"/>
      <c r="HY214" s="14"/>
      <c r="HZ214" s="14"/>
      <c r="IA214" s="14"/>
      <c r="IB214" s="14"/>
      <c r="IC214" s="14"/>
      <c r="ID214" s="14"/>
      <c r="IE214" s="14"/>
      <c r="IF214" s="14"/>
      <c r="IG214" s="14"/>
      <c r="IH214" s="14"/>
      <c r="II214" s="14"/>
      <c r="IJ214" s="14"/>
      <c r="IK214" s="14"/>
      <c r="IL214" s="14"/>
      <c r="IM214" s="14"/>
      <c r="IN214" s="14"/>
      <c r="IO214" s="14"/>
      <c r="IP214" s="14"/>
      <c r="IQ214" s="14"/>
      <c r="IR214" s="14"/>
      <c r="IS214" s="14"/>
    </row>
    <row r="220" spans="1:253" s="1" customFormat="1" ht="30" x14ac:dyDescent="0.25">
      <c r="A220" s="14"/>
      <c r="B220" s="213"/>
      <c r="C220" s="213"/>
      <c r="D220" s="87"/>
      <c r="E220" s="88"/>
      <c r="G220" s="12"/>
      <c r="H220" s="13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  <c r="GN220" s="14"/>
      <c r="GO220" s="14"/>
      <c r="GP220" s="14"/>
      <c r="GQ220" s="14"/>
      <c r="GR220" s="14"/>
      <c r="GS220" s="14"/>
      <c r="GT220" s="14"/>
      <c r="GU220" s="14"/>
      <c r="GV220" s="14"/>
      <c r="GW220" s="14"/>
      <c r="GX220" s="14"/>
      <c r="GY220" s="14"/>
      <c r="GZ220" s="14"/>
      <c r="HA220" s="14"/>
      <c r="HB220" s="14"/>
      <c r="HC220" s="14"/>
      <c r="HD220" s="14"/>
      <c r="HE220" s="14"/>
      <c r="HF220" s="14"/>
      <c r="HG220" s="14"/>
      <c r="HH220" s="14"/>
      <c r="HI220" s="14"/>
      <c r="HJ220" s="14"/>
      <c r="HK220" s="14"/>
      <c r="HL220" s="14"/>
      <c r="HM220" s="14"/>
      <c r="HN220" s="14"/>
      <c r="HO220" s="14"/>
      <c r="HP220" s="14"/>
      <c r="HQ220" s="14"/>
      <c r="HR220" s="14"/>
      <c r="HS220" s="14"/>
      <c r="HT220" s="14"/>
      <c r="HU220" s="14"/>
      <c r="HV220" s="14"/>
      <c r="HW220" s="14"/>
      <c r="HX220" s="14"/>
      <c r="HY220" s="14"/>
      <c r="HZ220" s="14"/>
      <c r="IA220" s="14"/>
      <c r="IB220" s="14"/>
      <c r="IC220" s="14"/>
      <c r="ID220" s="14"/>
      <c r="IE220" s="14"/>
      <c r="IF220" s="14"/>
      <c r="IG220" s="14"/>
      <c r="IH220" s="14"/>
      <c r="II220" s="14"/>
      <c r="IJ220" s="14"/>
      <c r="IK220" s="14"/>
      <c r="IL220" s="14"/>
      <c r="IM220" s="14"/>
      <c r="IN220" s="14"/>
      <c r="IO220" s="14"/>
      <c r="IP220" s="14"/>
      <c r="IQ220" s="14"/>
      <c r="IR220" s="14"/>
      <c r="IS220" s="14"/>
    </row>
    <row r="221" spans="1:253" s="1" customFormat="1" ht="30" x14ac:dyDescent="0.25">
      <c r="A221" s="14"/>
      <c r="B221" s="213"/>
      <c r="C221" s="213"/>
      <c r="D221" s="89"/>
      <c r="E221" s="43"/>
      <c r="G221" s="12"/>
      <c r="H221" s="13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  <c r="EL221" s="14"/>
      <c r="EM221" s="14"/>
      <c r="EN221" s="14"/>
      <c r="EO221" s="14"/>
      <c r="EP221" s="14"/>
      <c r="EQ221" s="14"/>
      <c r="ER221" s="14"/>
      <c r="ES221" s="14"/>
      <c r="ET221" s="14"/>
      <c r="EU221" s="14"/>
      <c r="EV221" s="14"/>
      <c r="EW221" s="14"/>
      <c r="EX221" s="14"/>
      <c r="EY221" s="14"/>
      <c r="EZ221" s="14"/>
      <c r="FA221" s="14"/>
      <c r="FB221" s="14"/>
      <c r="FC221" s="14"/>
      <c r="FD221" s="14"/>
      <c r="FE221" s="14"/>
      <c r="FF221" s="14"/>
      <c r="FG221" s="14"/>
      <c r="FH221" s="14"/>
      <c r="FI221" s="14"/>
      <c r="FJ221" s="14"/>
      <c r="FK221" s="14"/>
      <c r="FL221" s="14"/>
      <c r="FM221" s="14"/>
      <c r="FN221" s="14"/>
      <c r="FO221" s="14"/>
      <c r="FP221" s="14"/>
      <c r="FQ221" s="14"/>
      <c r="FR221" s="14"/>
      <c r="FS221" s="14"/>
      <c r="FT221" s="14"/>
      <c r="FU221" s="14"/>
      <c r="FV221" s="14"/>
      <c r="FW221" s="14"/>
      <c r="FX221" s="14"/>
      <c r="FY221" s="14"/>
      <c r="FZ221" s="14"/>
      <c r="GA221" s="14"/>
      <c r="GB221" s="14"/>
      <c r="GC221" s="14"/>
      <c r="GD221" s="14"/>
      <c r="GE221" s="14"/>
      <c r="GF221" s="14"/>
      <c r="GG221" s="14"/>
      <c r="GH221" s="14"/>
      <c r="GI221" s="14"/>
      <c r="GJ221" s="14"/>
      <c r="GK221" s="14"/>
      <c r="GL221" s="14"/>
      <c r="GM221" s="14"/>
      <c r="GN221" s="14"/>
      <c r="GO221" s="14"/>
      <c r="GP221" s="14"/>
      <c r="GQ221" s="14"/>
      <c r="GR221" s="14"/>
      <c r="GS221" s="14"/>
      <c r="GT221" s="14"/>
      <c r="GU221" s="14"/>
      <c r="GV221" s="14"/>
      <c r="GW221" s="14"/>
      <c r="GX221" s="14"/>
      <c r="GY221" s="14"/>
      <c r="GZ221" s="14"/>
      <c r="HA221" s="14"/>
      <c r="HB221" s="14"/>
      <c r="HC221" s="14"/>
      <c r="HD221" s="14"/>
      <c r="HE221" s="14"/>
      <c r="HF221" s="14"/>
      <c r="HG221" s="14"/>
      <c r="HH221" s="14"/>
      <c r="HI221" s="14"/>
      <c r="HJ221" s="14"/>
      <c r="HK221" s="14"/>
      <c r="HL221" s="14"/>
      <c r="HM221" s="14"/>
      <c r="HN221" s="14"/>
      <c r="HO221" s="14"/>
      <c r="HP221" s="14"/>
      <c r="HQ221" s="14"/>
      <c r="HR221" s="14"/>
      <c r="HS221" s="14"/>
      <c r="HT221" s="14"/>
      <c r="HU221" s="14"/>
      <c r="HV221" s="14"/>
      <c r="HW221" s="14"/>
      <c r="HX221" s="14"/>
      <c r="HY221" s="14"/>
      <c r="HZ221" s="14"/>
      <c r="IA221" s="14"/>
      <c r="IB221" s="14"/>
      <c r="IC221" s="14"/>
      <c r="ID221" s="14"/>
      <c r="IE221" s="14"/>
      <c r="IF221" s="14"/>
      <c r="IG221" s="14"/>
      <c r="IH221" s="14"/>
      <c r="II221" s="14"/>
      <c r="IJ221" s="14"/>
      <c r="IK221" s="14"/>
      <c r="IL221" s="14"/>
      <c r="IM221" s="14"/>
      <c r="IN221" s="14"/>
      <c r="IO221" s="14"/>
      <c r="IP221" s="14"/>
      <c r="IQ221" s="14"/>
      <c r="IR221" s="14"/>
      <c r="IS221" s="14"/>
    </row>
  </sheetData>
  <sheetProtection algorithmName="SHA-512" hashValue="0S8TKh1k1y/SfacssFuWe7KnDmw1tVB9hc6oQOXWorco7VUh096xTjjWRYROq3kwNCemHZ/rlr2/T8/E51uVkA==" saltValue="M7D+seCRzMc2FNJK+WVHfQ==" spinCount="100000" sheet="1" objects="1" scenarios="1" selectLockedCells="1" selectUnlockedCells="1"/>
  <mergeCells count="90">
    <mergeCell ref="A80:A81"/>
    <mergeCell ref="B80:B81"/>
    <mergeCell ref="E80:F81"/>
    <mergeCell ref="A66:A69"/>
    <mergeCell ref="B66:B69"/>
    <mergeCell ref="E66:F69"/>
    <mergeCell ref="A74:A79"/>
    <mergeCell ref="B74:B79"/>
    <mergeCell ref="E74:F79"/>
    <mergeCell ref="A70:A73"/>
    <mergeCell ref="B70:B73"/>
    <mergeCell ref="E70:F73"/>
    <mergeCell ref="A62:A65"/>
    <mergeCell ref="B62:B65"/>
    <mergeCell ref="E62:F65"/>
    <mergeCell ref="B53:B57"/>
    <mergeCell ref="E53:F57"/>
    <mergeCell ref="A58:A61"/>
    <mergeCell ref="B58:B61"/>
    <mergeCell ref="E58:F61"/>
    <mergeCell ref="A53:A57"/>
    <mergeCell ref="A25:B25"/>
    <mergeCell ref="E25:F25"/>
    <mergeCell ref="E30:F30"/>
    <mergeCell ref="A29:F29"/>
    <mergeCell ref="A26:B26"/>
    <mergeCell ref="E26:F26"/>
    <mergeCell ref="A27:B27"/>
    <mergeCell ref="E27:F27"/>
    <mergeCell ref="A28:B28"/>
    <mergeCell ref="E28:F28"/>
    <mergeCell ref="A50:A52"/>
    <mergeCell ref="B50:B52"/>
    <mergeCell ref="E50:F52"/>
    <mergeCell ref="E31:F33"/>
    <mergeCell ref="A38:A43"/>
    <mergeCell ref="B38:B43"/>
    <mergeCell ref="E38:F43"/>
    <mergeCell ref="A31:A33"/>
    <mergeCell ref="B31:B33"/>
    <mergeCell ref="A44:A49"/>
    <mergeCell ref="B44:B49"/>
    <mergeCell ref="E44:F49"/>
    <mergeCell ref="A34:A37"/>
    <mergeCell ref="B34:B37"/>
    <mergeCell ref="E34:F37"/>
    <mergeCell ref="A7:E7"/>
    <mergeCell ref="A8:E8"/>
    <mergeCell ref="A9:F9"/>
    <mergeCell ref="A10:F10"/>
    <mergeCell ref="A24:B24"/>
    <mergeCell ref="E24:F24"/>
    <mergeCell ref="A18:F20"/>
    <mergeCell ref="A161:D161"/>
    <mergeCell ref="E161:F161"/>
    <mergeCell ref="A159:D159"/>
    <mergeCell ref="A158:D158"/>
    <mergeCell ref="E158:F158"/>
    <mergeCell ref="E159:F159"/>
    <mergeCell ref="A160:D160"/>
    <mergeCell ref="E160:F160"/>
    <mergeCell ref="B221:C221"/>
    <mergeCell ref="A162:D162"/>
    <mergeCell ref="E162:F162"/>
    <mergeCell ref="A164:F165"/>
    <mergeCell ref="C185:D185"/>
    <mergeCell ref="B213:C213"/>
    <mergeCell ref="B214:C214"/>
    <mergeCell ref="D214:E214"/>
    <mergeCell ref="B220:C220"/>
    <mergeCell ref="A156:F156"/>
    <mergeCell ref="A157:F157"/>
    <mergeCell ref="A89:D89"/>
    <mergeCell ref="E89:F89"/>
    <mergeCell ref="A92:C92"/>
    <mergeCell ref="A100:F101"/>
    <mergeCell ref="A106:F106"/>
    <mergeCell ref="A88:D88"/>
    <mergeCell ref="E88:F88"/>
    <mergeCell ref="A82:D82"/>
    <mergeCell ref="E82:F82"/>
    <mergeCell ref="A86:D86"/>
    <mergeCell ref="E86:F86"/>
    <mergeCell ref="A87:F87"/>
    <mergeCell ref="A83:D83"/>
    <mergeCell ref="E83:F83"/>
    <mergeCell ref="A84:D84"/>
    <mergeCell ref="E84:F84"/>
    <mergeCell ref="A85:D85"/>
    <mergeCell ref="E85:F85"/>
  </mergeCells>
  <printOptions horizontalCentered="1"/>
  <pageMargins left="0.39370078740157483" right="0.39370078740157483" top="0.39370078740157483" bottom="0.39370078740157483" header="0.11811023622047245" footer="0.51181102362204722"/>
  <pageSetup paperSize="9" scale="36" fitToHeight="0" orientation="portrait" r:id="rId1"/>
  <rowBreaks count="3" manualBreakCount="3">
    <brk id="37" max="5" man="1"/>
    <brk id="97" max="5" man="1"/>
    <brk id="1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JN178"/>
  <sheetViews>
    <sheetView tabSelected="1" topLeftCell="A4" zoomScale="50" zoomScaleNormal="50" zoomScaleSheetLayoutView="50" workbookViewId="0">
      <selection activeCell="B14" sqref="B14"/>
    </sheetView>
  </sheetViews>
  <sheetFormatPr defaultColWidth="0" defaultRowHeight="25.5" x14ac:dyDescent="0.35"/>
  <cols>
    <col min="1" max="1" width="39.85546875" style="153" customWidth="1"/>
    <col min="2" max="5" width="41" style="77" customWidth="1"/>
    <col min="6" max="6" width="60.42578125" style="77" customWidth="1"/>
    <col min="7" max="7" width="42.140625" style="103" bestFit="1" customWidth="1"/>
    <col min="8" max="8" width="31.7109375" style="82" customWidth="1"/>
    <col min="9" max="9" width="9.140625" style="82" customWidth="1"/>
    <col min="10" max="10" width="1.7109375" style="82" customWidth="1"/>
    <col min="11" max="22" width="9.140625" style="82" customWidth="1"/>
    <col min="23" max="23" width="1.42578125" style="82" customWidth="1"/>
    <col min="24" max="46" width="9.140625" style="82" customWidth="1"/>
    <col min="47" max="47" width="1.28515625" style="82" customWidth="1"/>
    <col min="48" max="68" width="9.140625" style="82" customWidth="1"/>
    <col min="69" max="69" width="1.28515625" style="82" customWidth="1"/>
    <col min="70" max="87" width="9.140625" style="82" customWidth="1"/>
    <col min="88" max="88" width="0.42578125" style="82" customWidth="1"/>
    <col min="89" max="89" width="1.140625" style="82" customWidth="1"/>
    <col min="90" max="112" width="9.140625" style="82" customWidth="1"/>
    <col min="113" max="113" width="1.7109375" style="82" customWidth="1"/>
    <col min="114" max="159" width="9.140625" style="82" customWidth="1"/>
    <col min="160" max="160" width="3.42578125" style="82" customWidth="1"/>
    <col min="161" max="183" width="9.140625" style="82" customWidth="1"/>
    <col min="184" max="184" width="2" style="82" customWidth="1"/>
    <col min="185" max="185" width="8" style="82" customWidth="1"/>
    <col min="186" max="190" width="9.140625" style="82" customWidth="1"/>
    <col min="191" max="191" width="8.7109375" style="82" customWidth="1"/>
    <col min="192" max="200" width="9.140625" style="82" customWidth="1"/>
    <col min="201" max="201" width="3.7109375" style="82" customWidth="1"/>
    <col min="202" max="202" width="9.140625" style="82" hidden="1" customWidth="1"/>
    <col min="203" max="223" width="0" style="82" hidden="1" customWidth="1"/>
    <col min="224" max="224" width="9.140625" style="82" hidden="1" customWidth="1"/>
    <col min="225" max="274" width="0" style="82" hidden="1" customWidth="1"/>
    <col min="275" max="16384" width="9.140625" style="82" hidden="1"/>
  </cols>
  <sheetData>
    <row r="1" spans="1:7" ht="30" customHeight="1" x14ac:dyDescent="0.35">
      <c r="A1" s="92"/>
      <c r="B1" s="92"/>
      <c r="C1" s="92"/>
      <c r="D1" s="92"/>
      <c r="E1" s="92"/>
      <c r="F1" s="105"/>
    </row>
    <row r="2" spans="1:7" ht="30" customHeight="1" x14ac:dyDescent="0.35">
      <c r="A2" s="92"/>
      <c r="B2" s="92"/>
      <c r="C2" s="92"/>
      <c r="D2" s="92"/>
      <c r="E2" s="92"/>
      <c r="F2" s="105"/>
    </row>
    <row r="3" spans="1:7" ht="30" customHeight="1" x14ac:dyDescent="0.35">
      <c r="A3" s="92"/>
      <c r="B3" s="92"/>
      <c r="C3" s="92"/>
      <c r="D3" s="92"/>
      <c r="E3" s="92"/>
      <c r="F3" s="105"/>
    </row>
    <row r="4" spans="1:7" ht="30" customHeight="1" x14ac:dyDescent="0.35">
      <c r="A4" s="92"/>
      <c r="B4" s="92"/>
      <c r="C4" s="92"/>
      <c r="D4" s="92"/>
      <c r="E4" s="92"/>
      <c r="F4" s="105"/>
    </row>
    <row r="5" spans="1:7" ht="30" customHeight="1" x14ac:dyDescent="0.35">
      <c r="A5" s="92"/>
      <c r="B5" s="92"/>
      <c r="C5" s="92"/>
      <c r="D5" s="92"/>
      <c r="E5" s="92"/>
      <c r="F5" s="105"/>
    </row>
    <row r="6" spans="1:7" ht="30" customHeight="1" x14ac:dyDescent="0.35">
      <c r="A6" s="92"/>
      <c r="B6" s="92"/>
      <c r="C6" s="92"/>
      <c r="D6" s="92"/>
      <c r="E6" s="92"/>
      <c r="F6" s="105"/>
    </row>
    <row r="7" spans="1:7" ht="30" customHeight="1" x14ac:dyDescent="0.35">
      <c r="A7" s="92"/>
      <c r="B7" s="92"/>
      <c r="C7" s="92"/>
      <c r="D7" s="92"/>
      <c r="E7" s="92"/>
      <c r="F7" s="105"/>
    </row>
    <row r="8" spans="1:7" ht="30" customHeight="1" x14ac:dyDescent="0.35">
      <c r="A8" s="92"/>
      <c r="B8" s="92"/>
      <c r="C8" s="92"/>
      <c r="D8" s="92"/>
      <c r="E8" s="92"/>
      <c r="F8" s="105"/>
    </row>
    <row r="9" spans="1:7" ht="30" customHeight="1" x14ac:dyDescent="0.35">
      <c r="A9" s="257" t="s">
        <v>78</v>
      </c>
      <c r="B9" s="257"/>
      <c r="C9" s="257"/>
      <c r="D9" s="257"/>
      <c r="E9" s="257"/>
      <c r="F9" s="257"/>
    </row>
    <row r="10" spans="1:7" ht="30" customHeight="1" x14ac:dyDescent="0.35">
      <c r="A10" s="257" t="s">
        <v>1</v>
      </c>
      <c r="B10" s="257"/>
      <c r="C10" s="257"/>
      <c r="D10" s="257"/>
      <c r="E10" s="257"/>
      <c r="F10" s="257"/>
    </row>
    <row r="11" spans="1:7" ht="30" customHeight="1" x14ac:dyDescent="0.35">
      <c r="A11" s="15"/>
      <c r="B11" s="16"/>
      <c r="C11" s="16"/>
      <c r="D11" s="16"/>
      <c r="E11" s="16"/>
      <c r="F11" s="16"/>
    </row>
    <row r="12" spans="1:7" s="106" customFormat="1" ht="30" customHeight="1" x14ac:dyDescent="0.35">
      <c r="A12" s="18" t="s">
        <v>86</v>
      </c>
      <c r="B12" s="19"/>
      <c r="C12" s="19"/>
      <c r="D12" s="19"/>
      <c r="E12" s="19"/>
      <c r="F12" s="19"/>
      <c r="G12" s="103"/>
    </row>
    <row r="13" spans="1:7" s="106" customFormat="1" ht="30" customHeight="1" x14ac:dyDescent="0.35">
      <c r="A13" s="18" t="s">
        <v>87</v>
      </c>
      <c r="B13" s="19"/>
      <c r="C13" s="19"/>
      <c r="D13" s="19"/>
      <c r="E13" s="19"/>
      <c r="F13" s="19"/>
      <c r="G13" s="103"/>
    </row>
    <row r="14" spans="1:7" s="106" customFormat="1" ht="30" customHeight="1" x14ac:dyDescent="0.35">
      <c r="A14" s="18" t="s">
        <v>88</v>
      </c>
      <c r="B14" s="19"/>
      <c r="C14" s="19"/>
      <c r="D14" s="19"/>
      <c r="E14" s="19"/>
      <c r="F14" s="19"/>
      <c r="G14" s="103"/>
    </row>
    <row r="15" spans="1:7" s="106" customFormat="1" ht="30" customHeight="1" x14ac:dyDescent="0.35">
      <c r="A15" s="18" t="s">
        <v>89</v>
      </c>
      <c r="B15" s="19"/>
      <c r="C15" s="19"/>
      <c r="D15" s="19"/>
      <c r="E15" s="19"/>
      <c r="F15" s="19"/>
      <c r="G15" s="103"/>
    </row>
    <row r="16" spans="1:7" s="106" customFormat="1" ht="30" customHeight="1" x14ac:dyDescent="0.35">
      <c r="A16" s="18" t="s">
        <v>90</v>
      </c>
      <c r="B16" s="19"/>
      <c r="C16" s="19"/>
      <c r="D16" s="19"/>
      <c r="E16" s="19"/>
      <c r="F16" s="19"/>
      <c r="G16" s="103"/>
    </row>
    <row r="17" spans="1:202" s="106" customFormat="1" ht="30" customHeight="1" x14ac:dyDescent="0.35">
      <c r="A17" s="18" t="s">
        <v>199</v>
      </c>
      <c r="B17" s="19"/>
      <c r="C17" s="19"/>
      <c r="D17" s="19"/>
      <c r="E17" s="19"/>
      <c r="F17" s="19"/>
      <c r="G17" s="103"/>
    </row>
    <row r="18" spans="1:202" s="11" customFormat="1" ht="30" customHeight="1" x14ac:dyDescent="0.25">
      <c r="A18" s="226" t="s">
        <v>196</v>
      </c>
      <c r="B18" s="226"/>
      <c r="C18" s="226"/>
      <c r="D18" s="226"/>
      <c r="E18" s="226"/>
      <c r="F18" s="226"/>
      <c r="G18" s="20"/>
      <c r="H18" s="13"/>
    </row>
    <row r="19" spans="1:202" s="11" customFormat="1" ht="30" customHeight="1" x14ac:dyDescent="0.25">
      <c r="A19" s="226"/>
      <c r="B19" s="226"/>
      <c r="C19" s="226"/>
      <c r="D19" s="226"/>
      <c r="E19" s="226"/>
      <c r="F19" s="226"/>
      <c r="G19" s="20"/>
      <c r="H19" s="13"/>
    </row>
    <row r="20" spans="1:202" s="11" customFormat="1" ht="50.25" customHeight="1" x14ac:dyDescent="0.25">
      <c r="A20" s="226"/>
      <c r="B20" s="226"/>
      <c r="C20" s="226"/>
      <c r="D20" s="226"/>
      <c r="E20" s="226"/>
      <c r="F20" s="226"/>
      <c r="G20" s="20"/>
      <c r="H20" s="13"/>
    </row>
    <row r="21" spans="1:202" s="106" customFormat="1" ht="30" customHeight="1" x14ac:dyDescent="0.4">
      <c r="A21" s="18" t="s">
        <v>147</v>
      </c>
      <c r="B21" s="19"/>
      <c r="C21" s="19"/>
      <c r="D21" s="19"/>
      <c r="E21" s="19"/>
      <c r="F21" s="9"/>
      <c r="G21" s="107"/>
    </row>
    <row r="22" spans="1:202" s="106" customFormat="1" ht="30" customHeight="1" x14ac:dyDescent="0.35">
      <c r="A22" s="18" t="s">
        <v>95</v>
      </c>
      <c r="B22" s="19"/>
      <c r="C22" s="19"/>
      <c r="D22" s="19"/>
      <c r="E22" s="19"/>
      <c r="F22" s="19"/>
      <c r="G22" s="103"/>
    </row>
    <row r="23" spans="1:202" s="106" customFormat="1" ht="30" customHeight="1" thickBot="1" x14ac:dyDescent="0.4">
      <c r="B23" s="108"/>
      <c r="C23" s="108"/>
      <c r="D23" s="108"/>
      <c r="E23" s="108"/>
      <c r="F23" s="108"/>
      <c r="G23" s="103"/>
    </row>
    <row r="24" spans="1:202" s="106" customFormat="1" ht="38.25" customHeight="1" thickBot="1" x14ac:dyDescent="0.4">
      <c r="A24" s="255" t="s">
        <v>2</v>
      </c>
      <c r="B24" s="255"/>
      <c r="C24" s="23" t="s">
        <v>3</v>
      </c>
      <c r="D24" s="23" t="s">
        <v>4</v>
      </c>
      <c r="E24" s="255" t="s">
        <v>5</v>
      </c>
      <c r="F24" s="255"/>
      <c r="G24" s="103"/>
    </row>
    <row r="25" spans="1:202" s="106" customFormat="1" ht="38.25" customHeight="1" thickBot="1" x14ac:dyDescent="0.4">
      <c r="A25" s="254" t="s">
        <v>79</v>
      </c>
      <c r="B25" s="254"/>
      <c r="C25" s="109" t="s">
        <v>79</v>
      </c>
      <c r="D25" s="109" t="s">
        <v>79</v>
      </c>
      <c r="E25" s="187" t="s">
        <v>79</v>
      </c>
      <c r="F25" s="187"/>
      <c r="G25" s="103"/>
    </row>
    <row r="26" spans="1:202" s="113" customFormat="1" ht="37.5" customHeight="1" thickBot="1" x14ac:dyDescent="0.3">
      <c r="A26" s="110"/>
      <c r="B26" s="110"/>
      <c r="C26" s="110"/>
      <c r="D26" s="110"/>
      <c r="E26" s="199"/>
      <c r="F26" s="199"/>
      <c r="G26" s="111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  <c r="BM26" s="112"/>
      <c r="BN26" s="112"/>
      <c r="BO26" s="112"/>
      <c r="BP26" s="112"/>
      <c r="BQ26" s="112"/>
      <c r="BR26" s="112"/>
      <c r="BS26" s="112"/>
      <c r="BT26" s="112"/>
      <c r="BU26" s="112"/>
      <c r="BV26" s="112"/>
      <c r="BW26" s="112"/>
      <c r="BX26" s="112"/>
      <c r="BY26" s="112"/>
      <c r="BZ26" s="112"/>
      <c r="CA26" s="112"/>
      <c r="CB26" s="112"/>
      <c r="CC26" s="112"/>
      <c r="CD26" s="112"/>
      <c r="CE26" s="112"/>
      <c r="CF26" s="112"/>
      <c r="CG26" s="112"/>
      <c r="CH26" s="112"/>
      <c r="CI26" s="112"/>
      <c r="CJ26" s="112"/>
      <c r="CK26" s="112"/>
      <c r="CL26" s="112"/>
      <c r="CM26" s="112"/>
      <c r="CN26" s="112"/>
      <c r="CO26" s="112"/>
      <c r="CP26" s="112"/>
      <c r="CQ26" s="112"/>
      <c r="CR26" s="112"/>
      <c r="CS26" s="112"/>
      <c r="CT26" s="112"/>
      <c r="CU26" s="112"/>
      <c r="CV26" s="112"/>
      <c r="CW26" s="112"/>
      <c r="CX26" s="112"/>
      <c r="CY26" s="112"/>
      <c r="CZ26" s="112"/>
      <c r="DA26" s="112"/>
      <c r="DB26" s="112"/>
      <c r="DC26" s="112"/>
      <c r="DD26" s="112"/>
      <c r="DE26" s="112"/>
      <c r="DF26" s="112"/>
      <c r="DG26" s="112"/>
      <c r="DH26" s="112"/>
      <c r="DI26" s="112"/>
      <c r="DJ26" s="112"/>
      <c r="DK26" s="112"/>
      <c r="DL26" s="112"/>
      <c r="DM26" s="112"/>
      <c r="DN26" s="112"/>
      <c r="DO26" s="112"/>
      <c r="DP26" s="112"/>
      <c r="DQ26" s="112"/>
      <c r="DR26" s="112"/>
      <c r="DS26" s="112"/>
      <c r="DT26" s="112"/>
      <c r="DU26" s="112"/>
      <c r="DV26" s="112"/>
      <c r="DW26" s="112"/>
      <c r="DX26" s="112"/>
      <c r="DY26" s="112"/>
      <c r="DZ26" s="112"/>
      <c r="EA26" s="112"/>
      <c r="EB26" s="112"/>
      <c r="EC26" s="112"/>
      <c r="ED26" s="112"/>
      <c r="EE26" s="112"/>
      <c r="EF26" s="112"/>
      <c r="EG26" s="112"/>
      <c r="EH26" s="112"/>
      <c r="EI26" s="112"/>
      <c r="EJ26" s="112"/>
      <c r="EK26" s="112"/>
      <c r="EL26" s="112"/>
      <c r="EM26" s="112"/>
      <c r="EN26" s="112"/>
      <c r="EO26" s="112"/>
      <c r="EP26" s="112"/>
      <c r="EQ26" s="112"/>
      <c r="ER26" s="112"/>
      <c r="ES26" s="112"/>
      <c r="ET26" s="112"/>
      <c r="EU26" s="112"/>
      <c r="EV26" s="112"/>
      <c r="EW26" s="112"/>
      <c r="EX26" s="112"/>
      <c r="EY26" s="112"/>
      <c r="EZ26" s="112"/>
      <c r="FA26" s="112"/>
      <c r="FB26" s="112"/>
      <c r="FC26" s="112"/>
      <c r="FD26" s="112"/>
      <c r="FE26" s="112"/>
      <c r="FF26" s="112"/>
      <c r="FG26" s="112"/>
      <c r="FH26" s="112"/>
      <c r="FI26" s="112"/>
      <c r="FJ26" s="112"/>
      <c r="FK26" s="112"/>
      <c r="FL26" s="112"/>
      <c r="FM26" s="112"/>
      <c r="FN26" s="112"/>
      <c r="FO26" s="112"/>
      <c r="FP26" s="112"/>
      <c r="FQ26" s="112"/>
      <c r="FR26" s="112"/>
      <c r="FS26" s="112"/>
      <c r="FT26" s="112"/>
      <c r="FU26" s="112"/>
      <c r="FV26" s="112"/>
      <c r="FW26" s="112"/>
      <c r="FX26" s="112"/>
      <c r="FY26" s="112"/>
      <c r="FZ26" s="112"/>
      <c r="GA26" s="112"/>
      <c r="GB26" s="112"/>
      <c r="GC26" s="112"/>
      <c r="GD26" s="112"/>
      <c r="GE26" s="112"/>
      <c r="GF26" s="112"/>
      <c r="GG26" s="112"/>
      <c r="GH26" s="112"/>
      <c r="GI26" s="112"/>
      <c r="GJ26" s="112"/>
      <c r="GK26" s="112"/>
      <c r="GL26" s="112"/>
      <c r="GM26" s="112"/>
      <c r="GN26" s="112"/>
      <c r="GO26" s="112"/>
      <c r="GP26" s="112"/>
      <c r="GQ26" s="112"/>
      <c r="GR26" s="112"/>
      <c r="GS26" s="112"/>
      <c r="GT26" s="112"/>
    </row>
    <row r="27" spans="1:202" s="106" customFormat="1" ht="60" customHeight="1" thickBot="1" x14ac:dyDescent="0.4">
      <c r="A27" s="255" t="s">
        <v>6</v>
      </c>
      <c r="B27" s="255"/>
      <c r="C27" s="255"/>
      <c r="D27" s="255"/>
      <c r="E27" s="255"/>
      <c r="F27" s="255"/>
      <c r="G27" s="103"/>
    </row>
    <row r="28" spans="1:202" s="106" customFormat="1" ht="80.25" customHeight="1" thickBot="1" x14ac:dyDescent="0.4">
      <c r="A28" s="28" t="s">
        <v>82</v>
      </c>
      <c r="B28" s="28" t="s">
        <v>7</v>
      </c>
      <c r="C28" s="23" t="s">
        <v>8</v>
      </c>
      <c r="D28" s="28" t="s">
        <v>9</v>
      </c>
      <c r="E28" s="220" t="s">
        <v>10</v>
      </c>
      <c r="F28" s="220"/>
      <c r="G28" s="103"/>
    </row>
    <row r="29" spans="1:202" s="106" customFormat="1" ht="37.5" customHeight="1" thickBot="1" x14ac:dyDescent="0.4">
      <c r="A29" s="114" t="s">
        <v>79</v>
      </c>
      <c r="B29" s="54" t="s">
        <v>79</v>
      </c>
      <c r="C29" s="114" t="s">
        <v>79</v>
      </c>
      <c r="D29" s="115" t="s">
        <v>79</v>
      </c>
      <c r="E29" s="187" t="s">
        <v>79</v>
      </c>
      <c r="F29" s="187"/>
      <c r="G29" s="103"/>
    </row>
    <row r="30" spans="1:202" s="106" customFormat="1" ht="37.5" customHeight="1" thickBot="1" x14ac:dyDescent="0.4">
      <c r="A30" s="184" t="s">
        <v>83</v>
      </c>
      <c r="B30" s="184"/>
      <c r="C30" s="184"/>
      <c r="D30" s="184"/>
      <c r="E30" s="187">
        <f>7310383.46+2000</f>
        <v>7312383.46</v>
      </c>
      <c r="F30" s="187"/>
      <c r="G30" s="103"/>
    </row>
    <row r="31" spans="1:202" s="106" customFormat="1" ht="37.5" customHeight="1" thickBot="1" x14ac:dyDescent="0.4">
      <c r="A31" s="184" t="s">
        <v>84</v>
      </c>
      <c r="B31" s="184"/>
      <c r="C31" s="184"/>
      <c r="D31" s="184"/>
      <c r="E31" s="256">
        <f>977549.97+5529587.09+3022.3+40552.39+242381.72-1995.54+9278812.38+7917865.01+7269003.87+7250169.84+6461782.76+6393611.56+7844890.67+6705812.59+8088608.54+7746966.25+8215953.8</f>
        <v>89964575.200000003</v>
      </c>
      <c r="F31" s="256"/>
      <c r="G31" s="106">
        <v>0</v>
      </c>
      <c r="H31" s="162">
        <v>0</v>
      </c>
    </row>
    <row r="32" spans="1:202" s="106" customFormat="1" ht="38.1" customHeight="1" thickBot="1" x14ac:dyDescent="0.4">
      <c r="A32" s="195" t="s">
        <v>11</v>
      </c>
      <c r="B32" s="196"/>
      <c r="C32" s="196"/>
      <c r="D32" s="197"/>
      <c r="E32" s="189">
        <f>66951.57+60897.69+80806.77+80267.16+72568.58+62000.26+58620.87+60552.35+71350.98+81771.2+76432.51+84580.44</f>
        <v>856800.38000000012</v>
      </c>
      <c r="F32" s="187"/>
    </row>
    <row r="33" spans="1:8" s="106" customFormat="1" ht="38.1" customHeight="1" thickBot="1" x14ac:dyDescent="0.4">
      <c r="A33" s="184" t="s">
        <v>12</v>
      </c>
      <c r="B33" s="184"/>
      <c r="C33" s="184"/>
      <c r="D33" s="184"/>
      <c r="E33" s="187">
        <f>25000+852.39+145.72+414+32477.04+25811.78+26753.61+29823.33+25776.25+34964.27+29043.05+52196.32+29464.64+29642.51+29991.55</f>
        <v>372356.45999999996</v>
      </c>
      <c r="F33" s="187"/>
      <c r="G33" s="106">
        <v>0</v>
      </c>
      <c r="H33" s="162">
        <v>0</v>
      </c>
    </row>
    <row r="34" spans="1:8" s="106" customFormat="1" ht="38.1" customHeight="1" thickBot="1" x14ac:dyDescent="0.4">
      <c r="A34" s="184" t="s">
        <v>13</v>
      </c>
      <c r="B34" s="184"/>
      <c r="C34" s="184"/>
      <c r="D34" s="184"/>
      <c r="E34" s="198">
        <f>SUM(E30:E33)</f>
        <v>98506115.499999985</v>
      </c>
      <c r="F34" s="198"/>
      <c r="G34" s="103"/>
    </row>
    <row r="35" spans="1:8" s="106" customFormat="1" ht="38.1" customHeight="1" thickBot="1" x14ac:dyDescent="0.4">
      <c r="A35" s="247"/>
      <c r="B35" s="248"/>
      <c r="C35" s="248"/>
      <c r="D35" s="249"/>
      <c r="E35" s="199"/>
      <c r="F35" s="199"/>
      <c r="G35" s="103"/>
      <c r="H35" s="103"/>
    </row>
    <row r="36" spans="1:8" s="106" customFormat="1" ht="38.1" customHeight="1" thickBot="1" x14ac:dyDescent="0.4">
      <c r="A36" s="184" t="s">
        <v>80</v>
      </c>
      <c r="B36" s="184"/>
      <c r="C36" s="184"/>
      <c r="D36" s="184"/>
      <c r="E36" s="187">
        <v>0</v>
      </c>
      <c r="F36" s="187"/>
      <c r="G36" s="103"/>
      <c r="H36" s="103"/>
    </row>
    <row r="37" spans="1:8" s="106" customFormat="1" ht="38.1" customHeight="1" thickBot="1" x14ac:dyDescent="0.4">
      <c r="A37" s="184" t="s">
        <v>15</v>
      </c>
      <c r="B37" s="184"/>
      <c r="C37" s="184"/>
      <c r="D37" s="184"/>
      <c r="E37" s="250">
        <f>E34+E36</f>
        <v>98506115.499999985</v>
      </c>
      <c r="F37" s="250"/>
      <c r="G37" s="103"/>
    </row>
    <row r="38" spans="1:8" ht="30" customHeight="1" x14ac:dyDescent="0.35">
      <c r="A38" s="116" t="s">
        <v>16</v>
      </c>
      <c r="B38" s="117"/>
      <c r="C38" s="117"/>
      <c r="D38" s="117"/>
      <c r="E38" s="118"/>
      <c r="F38" s="118"/>
    </row>
    <row r="39" spans="1:8" ht="30" customHeight="1" x14ac:dyDescent="0.35">
      <c r="A39" s="116" t="s">
        <v>17</v>
      </c>
      <c r="B39" s="117"/>
      <c r="C39" s="117"/>
      <c r="D39" s="118"/>
      <c r="E39" s="118"/>
      <c r="F39" s="118"/>
    </row>
    <row r="40" spans="1:8" ht="30" customHeight="1" x14ac:dyDescent="0.35">
      <c r="A40" s="194" t="s">
        <v>85</v>
      </c>
      <c r="B40" s="194"/>
      <c r="C40" s="194"/>
      <c r="D40" s="118"/>
      <c r="E40" s="118"/>
      <c r="F40" s="118"/>
    </row>
    <row r="41" spans="1:8" ht="30" customHeight="1" x14ac:dyDescent="0.35">
      <c r="A41" s="119"/>
      <c r="B41" s="118"/>
      <c r="C41" s="118"/>
      <c r="D41" s="118"/>
      <c r="E41" s="118"/>
      <c r="F41" s="118"/>
    </row>
    <row r="42" spans="1:8" ht="30" customHeight="1" x14ac:dyDescent="0.35">
      <c r="A42" s="120"/>
      <c r="B42" s="120"/>
      <c r="C42" s="120"/>
      <c r="D42" s="120"/>
      <c r="E42" s="120"/>
      <c r="F42" s="120"/>
    </row>
    <row r="43" spans="1:8" ht="30" customHeight="1" x14ac:dyDescent="0.35">
      <c r="A43" s="120"/>
      <c r="B43" s="120"/>
      <c r="C43" s="120"/>
      <c r="D43" s="120"/>
      <c r="E43" s="120"/>
      <c r="F43" s="120"/>
    </row>
    <row r="44" spans="1:8" ht="30" customHeight="1" x14ac:dyDescent="0.35">
      <c r="A44" s="120"/>
      <c r="B44" s="120"/>
      <c r="C44" s="120"/>
      <c r="D44" s="120"/>
      <c r="E44" s="120"/>
      <c r="F44" s="120"/>
    </row>
    <row r="45" spans="1:8" ht="30" customHeight="1" x14ac:dyDescent="0.35">
      <c r="A45" s="120"/>
      <c r="B45" s="120"/>
      <c r="C45" s="120"/>
      <c r="D45" s="120"/>
      <c r="E45" s="120"/>
      <c r="F45" s="120"/>
    </row>
    <row r="46" spans="1:8" ht="30" customHeight="1" x14ac:dyDescent="0.35">
      <c r="A46" s="120"/>
      <c r="B46" s="120"/>
      <c r="C46" s="120"/>
      <c r="D46" s="120"/>
      <c r="E46" s="120"/>
      <c r="F46" s="120"/>
    </row>
    <row r="47" spans="1:8" ht="30" customHeight="1" x14ac:dyDescent="0.35">
      <c r="A47" s="120"/>
      <c r="B47" s="120"/>
      <c r="C47" s="120"/>
      <c r="D47" s="120"/>
      <c r="E47" s="120"/>
      <c r="F47" s="120"/>
    </row>
    <row r="48" spans="1:8" ht="30" customHeight="1" x14ac:dyDescent="0.35">
      <c r="A48" s="120"/>
      <c r="B48" s="120"/>
      <c r="C48" s="120"/>
      <c r="D48" s="120"/>
      <c r="E48" s="120"/>
      <c r="F48" s="120"/>
    </row>
    <row r="49" spans="1:7" ht="30" customHeight="1" x14ac:dyDescent="0.35">
      <c r="A49" s="120"/>
      <c r="B49" s="120"/>
      <c r="C49" s="120"/>
      <c r="D49" s="120"/>
      <c r="E49" s="120"/>
      <c r="F49" s="120"/>
    </row>
    <row r="50" spans="1:7" ht="30" customHeight="1" x14ac:dyDescent="0.35">
      <c r="A50" s="120"/>
      <c r="B50" s="120"/>
      <c r="C50" s="120"/>
      <c r="D50" s="120"/>
      <c r="E50" s="120"/>
      <c r="F50" s="120"/>
    </row>
    <row r="51" spans="1:7" ht="30" customHeight="1" x14ac:dyDescent="0.35">
      <c r="A51" s="120"/>
      <c r="B51" s="120"/>
      <c r="C51" s="120"/>
      <c r="D51" s="120"/>
      <c r="E51" s="120"/>
      <c r="F51" s="120"/>
    </row>
    <row r="52" spans="1:7" ht="30" customHeight="1" x14ac:dyDescent="0.35">
      <c r="A52" s="120"/>
      <c r="B52" s="120"/>
      <c r="C52" s="120"/>
      <c r="D52" s="120"/>
      <c r="E52" s="120"/>
      <c r="F52" s="120"/>
    </row>
    <row r="53" spans="1:7" ht="30" customHeight="1" x14ac:dyDescent="0.35">
      <c r="A53" s="120"/>
      <c r="B53" s="120"/>
      <c r="C53" s="120"/>
      <c r="D53" s="120"/>
      <c r="E53" s="120"/>
      <c r="F53" s="120"/>
    </row>
    <row r="54" spans="1:7" ht="30" customHeight="1" x14ac:dyDescent="0.35">
      <c r="A54" s="120"/>
      <c r="B54" s="120"/>
      <c r="C54" s="120"/>
      <c r="D54" s="120"/>
      <c r="E54" s="120"/>
      <c r="F54" s="120"/>
    </row>
    <row r="55" spans="1:7" ht="30" customHeight="1" x14ac:dyDescent="0.35">
      <c r="A55" s="120"/>
      <c r="B55" s="120"/>
      <c r="C55" s="120"/>
      <c r="D55" s="120"/>
      <c r="E55" s="120"/>
      <c r="F55" s="120"/>
    </row>
    <row r="56" spans="1:7" ht="30" customHeight="1" x14ac:dyDescent="0.35">
      <c r="A56" s="203" t="s">
        <v>197</v>
      </c>
      <c r="B56" s="203"/>
      <c r="C56" s="203"/>
      <c r="D56" s="203"/>
      <c r="E56" s="203"/>
      <c r="F56" s="203"/>
    </row>
    <row r="57" spans="1:7" ht="30" customHeight="1" x14ac:dyDescent="0.35">
      <c r="A57" s="203"/>
      <c r="B57" s="203"/>
      <c r="C57" s="203"/>
      <c r="D57" s="203"/>
      <c r="E57" s="203"/>
      <c r="F57" s="203"/>
    </row>
    <row r="58" spans="1:7" ht="30" customHeight="1" x14ac:dyDescent="0.35">
      <c r="A58" s="120"/>
      <c r="B58" s="120"/>
      <c r="C58" s="120"/>
      <c r="D58" s="120"/>
      <c r="E58" s="120"/>
      <c r="F58" s="120"/>
    </row>
    <row r="59" spans="1:7" ht="30" customHeight="1" x14ac:dyDescent="0.35">
      <c r="A59" s="120"/>
      <c r="B59" s="120"/>
      <c r="C59" s="120"/>
      <c r="D59" s="120"/>
      <c r="E59" s="120"/>
      <c r="F59" s="120"/>
    </row>
    <row r="60" spans="1:7" ht="30" customHeight="1" x14ac:dyDescent="0.35">
      <c r="A60" s="120"/>
      <c r="B60" s="120"/>
      <c r="C60" s="120"/>
      <c r="D60" s="120"/>
      <c r="E60" s="120"/>
      <c r="F60" s="120"/>
    </row>
    <row r="61" spans="1:7" ht="30" customHeight="1" thickBot="1" x14ac:dyDescent="0.4">
      <c r="A61" s="120"/>
      <c r="B61" s="120"/>
      <c r="C61" s="120"/>
      <c r="D61" s="120"/>
      <c r="E61" s="120"/>
      <c r="F61" s="120"/>
    </row>
    <row r="62" spans="1:7" s="106" customFormat="1" ht="37.5" customHeight="1" thickBot="1" x14ac:dyDescent="0.4">
      <c r="A62" s="208" t="s">
        <v>18</v>
      </c>
      <c r="B62" s="209"/>
      <c r="C62" s="209"/>
      <c r="D62" s="209"/>
      <c r="E62" s="209"/>
      <c r="F62" s="210"/>
      <c r="G62" s="103"/>
    </row>
    <row r="63" spans="1:7" s="106" customFormat="1" ht="37.5" customHeight="1" thickBot="1" x14ac:dyDescent="0.4">
      <c r="A63" s="251" t="s">
        <v>96</v>
      </c>
      <c r="B63" s="252"/>
      <c r="C63" s="252"/>
      <c r="D63" s="252"/>
      <c r="E63" s="252"/>
      <c r="F63" s="253"/>
      <c r="G63" s="103"/>
    </row>
    <row r="64" spans="1:7" s="106" customFormat="1" ht="33" customHeight="1" x14ac:dyDescent="0.4">
      <c r="A64" s="121"/>
      <c r="B64" s="122"/>
      <c r="C64" s="123" t="s">
        <v>19</v>
      </c>
      <c r="D64" s="123" t="s">
        <v>19</v>
      </c>
      <c r="E64" s="124" t="s">
        <v>20</v>
      </c>
      <c r="F64" s="123" t="s">
        <v>19</v>
      </c>
      <c r="G64" s="103"/>
    </row>
    <row r="65" spans="1:8" s="106" customFormat="1" ht="33" customHeight="1" x14ac:dyDescent="0.4">
      <c r="A65" s="124" t="s">
        <v>21</v>
      </c>
      <c r="B65" s="125" t="s">
        <v>19</v>
      </c>
      <c r="C65" s="124" t="s">
        <v>22</v>
      </c>
      <c r="D65" s="124" t="s">
        <v>22</v>
      </c>
      <c r="E65" s="124" t="s">
        <v>19</v>
      </c>
      <c r="F65" s="124" t="s">
        <v>22</v>
      </c>
      <c r="G65" s="103"/>
    </row>
    <row r="66" spans="1:8" s="106" customFormat="1" ht="33" customHeight="1" x14ac:dyDescent="0.4">
      <c r="A66" s="124" t="s">
        <v>23</v>
      </c>
      <c r="B66" s="125" t="s">
        <v>22</v>
      </c>
      <c r="C66" s="124" t="s">
        <v>24</v>
      </c>
      <c r="D66" s="124" t="s">
        <v>25</v>
      </c>
      <c r="E66" s="124" t="s">
        <v>26</v>
      </c>
      <c r="F66" s="124" t="s">
        <v>27</v>
      </c>
      <c r="G66" s="103"/>
    </row>
    <row r="67" spans="1:8" s="106" customFormat="1" ht="33" customHeight="1" x14ac:dyDescent="0.4">
      <c r="A67" s="124" t="s">
        <v>28</v>
      </c>
      <c r="B67" s="125" t="s">
        <v>29</v>
      </c>
      <c r="C67" s="124" t="s">
        <v>30</v>
      </c>
      <c r="D67" s="124" t="s">
        <v>31</v>
      </c>
      <c r="E67" s="124" t="s">
        <v>29</v>
      </c>
      <c r="F67" s="124" t="s">
        <v>32</v>
      </c>
      <c r="G67" s="103"/>
    </row>
    <row r="68" spans="1:8" s="106" customFormat="1" ht="33" customHeight="1" x14ac:dyDescent="0.4">
      <c r="A68" s="126"/>
      <c r="B68" s="125" t="s">
        <v>33</v>
      </c>
      <c r="C68" s="124" t="s">
        <v>34</v>
      </c>
      <c r="D68" s="124" t="s">
        <v>33</v>
      </c>
      <c r="E68" s="124" t="s">
        <v>35</v>
      </c>
      <c r="F68" s="124" t="s">
        <v>36</v>
      </c>
      <c r="G68" s="103"/>
    </row>
    <row r="69" spans="1:8" s="106" customFormat="1" ht="33" customHeight="1" x14ac:dyDescent="0.4">
      <c r="A69" s="126"/>
      <c r="B69" s="127"/>
      <c r="C69" s="124" t="s">
        <v>33</v>
      </c>
      <c r="D69" s="124" t="s">
        <v>37</v>
      </c>
      <c r="E69" s="124" t="s">
        <v>38</v>
      </c>
      <c r="F69" s="124" t="s">
        <v>39</v>
      </c>
      <c r="G69" s="103"/>
    </row>
    <row r="70" spans="1:8" s="106" customFormat="1" ht="33" customHeight="1" thickBot="1" x14ac:dyDescent="0.45">
      <c r="A70" s="128"/>
      <c r="B70" s="129"/>
      <c r="C70" s="130" t="s">
        <v>40</v>
      </c>
      <c r="D70" s="131"/>
      <c r="E70" s="132" t="s">
        <v>41</v>
      </c>
      <c r="F70" s="131"/>
      <c r="G70" s="160" t="s">
        <v>99</v>
      </c>
    </row>
    <row r="71" spans="1:8" s="106" customFormat="1" ht="47.25" customHeight="1" thickBot="1" x14ac:dyDescent="0.4">
      <c r="A71" s="52" t="s">
        <v>42</v>
      </c>
      <c r="B71" s="53">
        <f t="shared" ref="B71:B87" si="0">D71+F71</f>
        <v>12440733.220000001</v>
      </c>
      <c r="C71" s="54">
        <f>34972.78</f>
        <v>34972.78</v>
      </c>
      <c r="D71" s="55">
        <f>1015365.76+1054557.19+1086587.66+1085401.64+1283791.3+850794.76+850046.19+838562.16+876841.15+1143427.93+1159747.29+1175379.34</f>
        <v>12420502.370000001</v>
      </c>
      <c r="E71" s="54">
        <f>C71+D71</f>
        <v>12455475.15</v>
      </c>
      <c r="F71" s="55">
        <f>20230.85</f>
        <v>20230.849999999999</v>
      </c>
      <c r="G71" s="161">
        <v>34972.78</v>
      </c>
      <c r="H71" s="162">
        <f>G71-C71</f>
        <v>0</v>
      </c>
    </row>
    <row r="72" spans="1:8" s="106" customFormat="1" ht="47.25" customHeight="1" thickBot="1" x14ac:dyDescent="0.4">
      <c r="A72" s="52" t="s">
        <v>43</v>
      </c>
      <c r="B72" s="53">
        <f t="shared" si="0"/>
        <v>0</v>
      </c>
      <c r="C72" s="54">
        <v>0</v>
      </c>
      <c r="D72" s="55">
        <v>0</v>
      </c>
      <c r="E72" s="54">
        <f t="shared" ref="E72:E86" si="1">C72+D72</f>
        <v>0</v>
      </c>
      <c r="F72" s="54">
        <v>0</v>
      </c>
      <c r="G72" s="161">
        <v>0</v>
      </c>
      <c r="H72" s="162">
        <f t="shared" ref="H72:H87" si="2">G72-C72</f>
        <v>0</v>
      </c>
    </row>
    <row r="73" spans="1:8" s="106" customFormat="1" ht="47.25" customHeight="1" thickBot="1" x14ac:dyDescent="0.4">
      <c r="A73" s="52" t="s">
        <v>44</v>
      </c>
      <c r="B73" s="53">
        <f t="shared" si="0"/>
        <v>13170200.859999999</v>
      </c>
      <c r="C73" s="54">
        <f>306218.2+231487.17+3311.07</f>
        <v>541016.43999999994</v>
      </c>
      <c r="D73" s="55">
        <f>2845.28+353253.13+837798+1444498.87+1607283.07+1695993.88+419724.05+627073.41+1372877.22+782145.34+1160427.09+925623.77</f>
        <v>11229543.109999999</v>
      </c>
      <c r="E73" s="54">
        <f t="shared" si="1"/>
        <v>11770559.549999999</v>
      </c>
      <c r="F73" s="54">
        <f>1642955.11+287942.83+9759.81</f>
        <v>1940657.7500000002</v>
      </c>
      <c r="G73" s="161">
        <v>541016.43999999994</v>
      </c>
      <c r="H73" s="168">
        <f t="shared" si="2"/>
        <v>0</v>
      </c>
    </row>
    <row r="74" spans="1:8" s="106" customFormat="1" ht="55.5" customHeight="1" thickBot="1" x14ac:dyDescent="0.4">
      <c r="A74" s="133" t="s">
        <v>45</v>
      </c>
      <c r="B74" s="53">
        <f t="shared" si="0"/>
        <v>26288143.219999999</v>
      </c>
      <c r="C74" s="54">
        <f>2504000.3+2319626.17+277844.11+2395.8</f>
        <v>5103866.38</v>
      </c>
      <c r="D74" s="55">
        <f>6789+523635.88+2175298.06+1876810.14+2185678.57+2183197.95+2228679.77+2031059.18+2360196.68+1905337.61+2250867.34+2376006.63</f>
        <v>22103556.809999999</v>
      </c>
      <c r="E74" s="54">
        <f t="shared" si="1"/>
        <v>27207423.189999998</v>
      </c>
      <c r="F74" s="54">
        <f>2733831.53+1035144.32+71899.23+343711.33</f>
        <v>4184586.4099999997</v>
      </c>
      <c r="G74" s="161">
        <v>5103866.38</v>
      </c>
      <c r="H74" s="162">
        <f t="shared" si="2"/>
        <v>0</v>
      </c>
    </row>
    <row r="75" spans="1:8" s="106" customFormat="1" ht="47.25" customHeight="1" thickBot="1" x14ac:dyDescent="0.4">
      <c r="A75" s="52" t="s">
        <v>46</v>
      </c>
      <c r="B75" s="53">
        <f t="shared" si="0"/>
        <v>4050690.42</v>
      </c>
      <c r="C75" s="54">
        <f>263022.69+4146.79</f>
        <v>267169.48</v>
      </c>
      <c r="D75" s="55">
        <f>99092.83+281494.21+349278.77+363491.6+333474.33+356889.18+334938.13+339954.7+323606.84+319211.71+332438.78+359522</f>
        <v>3793393.08</v>
      </c>
      <c r="E75" s="54">
        <f t="shared" si="1"/>
        <v>4060562.56</v>
      </c>
      <c r="F75" s="54">
        <f>252707.34+4590</f>
        <v>257297.34</v>
      </c>
      <c r="G75" s="161">
        <v>267169.48</v>
      </c>
      <c r="H75" s="162">
        <f t="shared" si="2"/>
        <v>0</v>
      </c>
    </row>
    <row r="76" spans="1:8" s="106" customFormat="1" ht="55.5" customHeight="1" thickBot="1" x14ac:dyDescent="0.4">
      <c r="A76" s="133" t="s">
        <v>47</v>
      </c>
      <c r="B76" s="53">
        <f t="shared" si="0"/>
        <v>5034884.45</v>
      </c>
      <c r="C76" s="54">
        <f>409626.51+131817.44+20130+1030+1030</f>
        <v>563633.94999999995</v>
      </c>
      <c r="D76" s="55">
        <f>57557.82+287967.86+489622.36+457335.04+425654.69+377448.84+408268.71+393085.36+436112.19+393842.06+373651.86+474819.13</f>
        <v>4575365.92</v>
      </c>
      <c r="E76" s="54">
        <f t="shared" si="1"/>
        <v>5138999.87</v>
      </c>
      <c r="F76" s="54">
        <f>418597.66+40920.87</f>
        <v>459518.52999999997</v>
      </c>
      <c r="G76" s="161">
        <v>563633.94999999995</v>
      </c>
      <c r="H76" s="162">
        <f t="shared" si="2"/>
        <v>0</v>
      </c>
    </row>
    <row r="77" spans="1:8" s="106" customFormat="1" ht="47.25" customHeight="1" thickBot="1" x14ac:dyDescent="0.4">
      <c r="A77" s="52" t="s">
        <v>48</v>
      </c>
      <c r="B77" s="53">
        <f t="shared" si="0"/>
        <v>11960864.280000001</v>
      </c>
      <c r="C77" s="54">
        <f>70457.8+12149.72</f>
        <v>82607.520000000004</v>
      </c>
      <c r="D77" s="55">
        <f>927535.89+827588.35+815437.7+826773.24+892618.28+901184.77+803012.53+903187.3+1132982.3+1012750.84+1034907.15+1761349.63</f>
        <v>11839327.98</v>
      </c>
      <c r="E77" s="54">
        <f t="shared" si="1"/>
        <v>11921935.5</v>
      </c>
      <c r="F77" s="54">
        <f>109098.09+12438.21</f>
        <v>121536.29999999999</v>
      </c>
      <c r="G77" s="161">
        <v>82607.520000000004</v>
      </c>
      <c r="H77" s="162">
        <f t="shared" si="2"/>
        <v>0</v>
      </c>
    </row>
    <row r="78" spans="1:8" s="106" customFormat="1" ht="55.5" customHeight="1" thickBot="1" x14ac:dyDescent="0.4">
      <c r="A78" s="133" t="s">
        <v>49</v>
      </c>
      <c r="B78" s="53">
        <f t="shared" si="0"/>
        <v>10111317.75</v>
      </c>
      <c r="C78" s="54">
        <f>540054.33+15463.41</f>
        <v>555517.74</v>
      </c>
      <c r="D78" s="55">
        <f>375954.57+816715.73+868250.57+846106.73+814638.31+747172.84+884085.26+858361.44+778724.01+855328.33+861869.93+858780.48</f>
        <v>9565988.1999999993</v>
      </c>
      <c r="E78" s="54">
        <f t="shared" si="1"/>
        <v>10121505.939999999</v>
      </c>
      <c r="F78" s="54">
        <f>494237.51+16550.98+25882.35+8658.71</f>
        <v>545329.54999999993</v>
      </c>
      <c r="G78" s="161">
        <v>555517.74</v>
      </c>
      <c r="H78" s="162">
        <f t="shared" si="2"/>
        <v>0</v>
      </c>
    </row>
    <row r="79" spans="1:8" s="106" customFormat="1" ht="47.25" customHeight="1" thickBot="1" x14ac:dyDescent="0.4">
      <c r="A79" s="52" t="s">
        <v>50</v>
      </c>
      <c r="B79" s="53">
        <f t="shared" si="0"/>
        <v>88073.4</v>
      </c>
      <c r="C79" s="54">
        <f>10330.47</f>
        <v>10330.469999999999</v>
      </c>
      <c r="D79" s="55">
        <f>10330.47+10801.6+10801.6+10801.6+10801.6+8134.93+5801.6+5150+5150+10300</f>
        <v>88073.4</v>
      </c>
      <c r="E79" s="54">
        <f t="shared" si="1"/>
        <v>98403.87</v>
      </c>
      <c r="F79" s="134"/>
      <c r="G79" s="161">
        <v>10330.469999999999</v>
      </c>
      <c r="H79" s="162">
        <f t="shared" si="2"/>
        <v>0</v>
      </c>
    </row>
    <row r="80" spans="1:8" s="106" customFormat="1" ht="47.25" customHeight="1" thickBot="1" x14ac:dyDescent="0.4">
      <c r="A80" s="52" t="s">
        <v>51</v>
      </c>
      <c r="B80" s="53">
        <f t="shared" si="0"/>
        <v>6151528.5299999993</v>
      </c>
      <c r="C80" s="54">
        <f>85835.63+12980</f>
        <v>98815.63</v>
      </c>
      <c r="D80" s="55">
        <f>347895.74+436444.94+568391.04+510097.54+470145.29+530546.61+513392.12+558469.57+534768.25+517329.93+544144.78+511868.09</f>
        <v>6043493.8999999994</v>
      </c>
      <c r="E80" s="54">
        <f t="shared" si="1"/>
        <v>6142309.5299999993</v>
      </c>
      <c r="F80" s="54">
        <f>94454.63+13580</f>
        <v>108034.63</v>
      </c>
      <c r="G80" s="161">
        <v>98815.63</v>
      </c>
      <c r="H80" s="162">
        <f t="shared" si="2"/>
        <v>0</v>
      </c>
    </row>
    <row r="81" spans="1:8" s="106" customFormat="1" ht="47.25" customHeight="1" thickBot="1" x14ac:dyDescent="0.4">
      <c r="A81" s="52" t="s">
        <v>52</v>
      </c>
      <c r="B81" s="53">
        <f t="shared" si="0"/>
        <v>1664457.2600000002</v>
      </c>
      <c r="C81" s="54">
        <f>268935.52</f>
        <v>268935.52</v>
      </c>
      <c r="D81" s="55">
        <f>46649.92+293735.43+315513.21+57649.51+55803.28+53418.86+41607.09+72002.64+55950.27+66448.74+70390.55+76675.46</f>
        <v>1205844.9600000002</v>
      </c>
      <c r="E81" s="54">
        <f t="shared" si="1"/>
        <v>1474780.4800000002</v>
      </c>
      <c r="F81" s="54">
        <f>458612.3</f>
        <v>458612.3</v>
      </c>
      <c r="G81" s="161">
        <v>268935.52</v>
      </c>
      <c r="H81" s="162">
        <f t="shared" si="2"/>
        <v>0</v>
      </c>
    </row>
    <row r="82" spans="1:8" s="106" customFormat="1" ht="47.25" customHeight="1" thickBot="1" x14ac:dyDescent="0.4">
      <c r="A82" s="52" t="s">
        <v>53</v>
      </c>
      <c r="B82" s="53">
        <f t="shared" si="0"/>
        <v>22656.639999999992</v>
      </c>
      <c r="C82" s="54">
        <v>0</v>
      </c>
      <c r="D82" s="55">
        <f>1227.2+674.77+6023.48+6301.33+1275.21+1187.03+532.19+494.01+1303.8+1127.96+1106.52+1403.14</f>
        <v>22656.639999999992</v>
      </c>
      <c r="E82" s="54">
        <f t="shared" si="1"/>
        <v>22656.639999999992</v>
      </c>
      <c r="F82" s="54">
        <v>0</v>
      </c>
      <c r="G82" s="161">
        <v>0</v>
      </c>
      <c r="H82" s="162">
        <f t="shared" si="2"/>
        <v>0</v>
      </c>
    </row>
    <row r="83" spans="1:8" s="106" customFormat="1" ht="55.5" customHeight="1" thickBot="1" x14ac:dyDescent="0.4">
      <c r="A83" s="133" t="s">
        <v>54</v>
      </c>
      <c r="B83" s="53">
        <f t="shared" si="0"/>
        <v>904446.63999999978</v>
      </c>
      <c r="C83" s="54">
        <f>191397.12</f>
        <v>191397.12</v>
      </c>
      <c r="D83" s="55">
        <f>55356.14+54019.26+111502.68+203804.89+137815.19+74140.68+47943.2+43951.05+35307.18+43101.81+39740.54+32468.7</f>
        <v>879151.31999999983</v>
      </c>
      <c r="E83" s="54">
        <f t="shared" si="1"/>
        <v>1070548.44</v>
      </c>
      <c r="F83" s="54">
        <f>25295.32</f>
        <v>25295.32</v>
      </c>
      <c r="G83" s="161">
        <v>191397.12</v>
      </c>
      <c r="H83" s="162">
        <f t="shared" si="2"/>
        <v>0</v>
      </c>
    </row>
    <row r="84" spans="1:8" s="106" customFormat="1" ht="47.25" customHeight="1" thickBot="1" x14ac:dyDescent="0.4">
      <c r="A84" s="52" t="s">
        <v>55</v>
      </c>
      <c r="B84" s="53">
        <f t="shared" si="0"/>
        <v>0</v>
      </c>
      <c r="C84" s="54">
        <v>0</v>
      </c>
      <c r="D84" s="55">
        <v>0</v>
      </c>
      <c r="E84" s="54">
        <f t="shared" si="1"/>
        <v>0</v>
      </c>
      <c r="F84" s="54">
        <v>0</v>
      </c>
      <c r="G84" s="161">
        <v>0</v>
      </c>
      <c r="H84" s="162">
        <f t="shared" si="2"/>
        <v>0</v>
      </c>
    </row>
    <row r="85" spans="1:8" s="106" customFormat="1" ht="55.5" customHeight="1" thickBot="1" x14ac:dyDescent="0.4">
      <c r="A85" s="133" t="s">
        <v>56</v>
      </c>
      <c r="B85" s="53">
        <f t="shared" si="0"/>
        <v>32661.439999999999</v>
      </c>
      <c r="C85" s="54">
        <v>0</v>
      </c>
      <c r="D85" s="55">
        <f>2400.4+2812.65+2705.8+2931.98+2520.28+2624.48+2517+2438.65+2582.03+2701.05+2720.67+3706.45</f>
        <v>32661.439999999999</v>
      </c>
      <c r="E85" s="54">
        <f t="shared" si="1"/>
        <v>32661.439999999999</v>
      </c>
      <c r="F85" s="54">
        <v>0</v>
      </c>
      <c r="G85" s="161">
        <v>0</v>
      </c>
      <c r="H85" s="162">
        <f t="shared" si="2"/>
        <v>0</v>
      </c>
    </row>
    <row r="86" spans="1:8" s="106" customFormat="1" ht="47.25" customHeight="1" thickBot="1" x14ac:dyDescent="0.4">
      <c r="A86" s="52" t="s">
        <v>57</v>
      </c>
      <c r="B86" s="53">
        <f t="shared" si="0"/>
        <v>650359.68000000005</v>
      </c>
      <c r="C86" s="54">
        <v>0</v>
      </c>
      <c r="D86" s="55">
        <f>6384.84+16133.57+11272.7+174935.25+99878.92+42707.21+90707.52+89210.53+84679.89+18775.83+7933.67+7224.14</f>
        <v>649844.07000000007</v>
      </c>
      <c r="E86" s="54">
        <f t="shared" si="1"/>
        <v>649844.07000000007</v>
      </c>
      <c r="F86" s="54">
        <f>515.61</f>
        <v>515.61</v>
      </c>
      <c r="G86" s="161">
        <v>0</v>
      </c>
      <c r="H86" s="162">
        <f t="shared" si="2"/>
        <v>0</v>
      </c>
    </row>
    <row r="87" spans="1:8" s="106" customFormat="1" ht="47.25" customHeight="1" thickBot="1" x14ac:dyDescent="0.4">
      <c r="A87" s="57" t="s">
        <v>0</v>
      </c>
      <c r="B87" s="135">
        <f t="shared" si="0"/>
        <v>92571017.789999992</v>
      </c>
      <c r="C87" s="58">
        <f>SUM(C71:C86)</f>
        <v>7718263.0300000003</v>
      </c>
      <c r="D87" s="58">
        <f>SUM(D71:D86)</f>
        <v>84449403.199999988</v>
      </c>
      <c r="E87" s="58">
        <f>SUM(E71:E86)</f>
        <v>92167666.229999989</v>
      </c>
      <c r="F87" s="136">
        <f>SUM(F71:F86)</f>
        <v>8121614.5899999999</v>
      </c>
      <c r="G87" s="91">
        <f>SUM(G71:G86)</f>
        <v>7718263.0300000003</v>
      </c>
      <c r="H87" s="162">
        <f t="shared" si="2"/>
        <v>0</v>
      </c>
    </row>
    <row r="88" spans="1:8" s="14" customFormat="1" ht="30" customHeight="1" x14ac:dyDescent="0.25">
      <c r="A88" s="34" t="s">
        <v>58</v>
      </c>
      <c r="B88" s="35"/>
      <c r="C88" s="35"/>
      <c r="D88" s="35"/>
      <c r="E88" s="35"/>
      <c r="F88" s="35"/>
      <c r="G88" s="33"/>
      <c r="H88" s="64"/>
    </row>
    <row r="89" spans="1:8" s="14" customFormat="1" ht="30" customHeight="1" x14ac:dyDescent="0.25">
      <c r="A89" s="34" t="s">
        <v>59</v>
      </c>
      <c r="B89" s="35"/>
      <c r="C89" s="61"/>
      <c r="D89" s="137"/>
      <c r="E89" s="60"/>
      <c r="F89" s="138"/>
      <c r="G89" s="61"/>
    </row>
    <row r="90" spans="1:8" s="14" customFormat="1" ht="30" customHeight="1" x14ac:dyDescent="0.35">
      <c r="A90" s="34" t="s">
        <v>60</v>
      </c>
      <c r="B90" s="35"/>
      <c r="C90" s="61"/>
      <c r="D90" s="139"/>
      <c r="E90" s="61"/>
      <c r="F90" s="140"/>
      <c r="G90" s="10"/>
    </row>
    <row r="91" spans="1:8" s="14" customFormat="1" ht="30" customHeight="1" x14ac:dyDescent="0.25">
      <c r="A91" s="34" t="s">
        <v>61</v>
      </c>
      <c r="B91" s="35"/>
      <c r="C91" s="35"/>
      <c r="D91" s="35"/>
      <c r="E91" s="61"/>
      <c r="F91" s="35"/>
      <c r="G91" s="33"/>
    </row>
    <row r="92" spans="1:8" s="14" customFormat="1" ht="30" customHeight="1" x14ac:dyDescent="0.25">
      <c r="A92" s="34" t="s">
        <v>62</v>
      </c>
      <c r="B92" s="35"/>
      <c r="C92" s="35"/>
      <c r="D92" s="35"/>
      <c r="E92" s="35"/>
      <c r="F92" s="35"/>
      <c r="G92" s="33"/>
    </row>
    <row r="93" spans="1:8" s="14" customFormat="1" ht="30" customHeight="1" x14ac:dyDescent="0.25">
      <c r="A93" s="34" t="s">
        <v>63</v>
      </c>
      <c r="B93" s="35"/>
      <c r="C93" s="35"/>
      <c r="D93" s="35"/>
      <c r="E93" s="35"/>
      <c r="F93" s="35"/>
      <c r="G93" s="33"/>
    </row>
    <row r="94" spans="1:8" ht="30" customHeight="1" x14ac:dyDescent="0.35">
      <c r="A94" s="141" t="s">
        <v>64</v>
      </c>
      <c r="B94" s="141"/>
      <c r="C94" s="141"/>
      <c r="D94" s="142"/>
      <c r="E94" s="141"/>
      <c r="F94" s="141"/>
    </row>
    <row r="95" spans="1:8" ht="30" customHeight="1" x14ac:dyDescent="0.35">
      <c r="A95" s="141" t="s">
        <v>65</v>
      </c>
      <c r="B95" s="141"/>
      <c r="C95" s="141"/>
      <c r="D95" s="143"/>
      <c r="E95" s="141"/>
      <c r="F95" s="141"/>
    </row>
    <row r="96" spans="1:8" ht="30" customHeight="1" x14ac:dyDescent="0.35">
      <c r="A96" s="141" t="s">
        <v>66</v>
      </c>
      <c r="B96" s="141"/>
      <c r="C96" s="141"/>
      <c r="D96" s="141"/>
      <c r="E96" s="141"/>
      <c r="F96" s="141"/>
    </row>
    <row r="97" spans="1:7" ht="30" customHeight="1" x14ac:dyDescent="0.35">
      <c r="A97" s="141" t="s">
        <v>67</v>
      </c>
      <c r="B97" s="141"/>
      <c r="C97" s="141"/>
      <c r="D97" s="141"/>
      <c r="E97" s="144"/>
      <c r="F97" s="144"/>
    </row>
    <row r="98" spans="1:7" ht="30" customHeight="1" x14ac:dyDescent="0.35">
      <c r="A98" s="141"/>
      <c r="B98" s="141"/>
      <c r="C98" s="141"/>
      <c r="D98" s="141"/>
      <c r="E98" s="144"/>
      <c r="F98" s="144"/>
    </row>
    <row r="99" spans="1:7" s="14" customFormat="1" ht="30" customHeight="1" x14ac:dyDescent="0.25">
      <c r="A99" s="34" t="s">
        <v>68</v>
      </c>
      <c r="B99" s="35"/>
      <c r="C99" s="35"/>
      <c r="D99" s="35"/>
      <c r="E99" s="35"/>
      <c r="F99" s="35"/>
      <c r="G99" s="33"/>
    </row>
    <row r="100" spans="1:7" s="14" customFormat="1" ht="30" customHeight="1" x14ac:dyDescent="0.25">
      <c r="A100" s="34"/>
      <c r="B100" s="35"/>
      <c r="C100" s="35"/>
      <c r="D100" s="35"/>
      <c r="E100" s="35"/>
      <c r="F100" s="35"/>
      <c r="G100" s="33"/>
    </row>
    <row r="101" spans="1:7" s="14" customFormat="1" ht="30" customHeight="1" x14ac:dyDescent="0.25">
      <c r="A101" s="34"/>
      <c r="B101" s="35"/>
      <c r="C101" s="35"/>
      <c r="D101" s="35"/>
      <c r="E101" s="35"/>
      <c r="F101" s="35"/>
      <c r="G101" s="33"/>
    </row>
    <row r="102" spans="1:7" s="14" customFormat="1" ht="30" customHeight="1" x14ac:dyDescent="0.25">
      <c r="A102" s="34"/>
      <c r="B102" s="35"/>
      <c r="C102" s="35"/>
      <c r="D102" s="35"/>
      <c r="E102" s="35"/>
      <c r="F102" s="35"/>
      <c r="G102" s="33"/>
    </row>
    <row r="103" spans="1:7" s="14" customFormat="1" ht="30" customHeight="1" x14ac:dyDescent="0.25">
      <c r="A103" s="34"/>
      <c r="B103" s="35"/>
      <c r="C103" s="35"/>
      <c r="D103" s="35"/>
      <c r="E103" s="35"/>
      <c r="F103" s="35"/>
      <c r="G103" s="33"/>
    </row>
    <row r="104" spans="1:7" s="14" customFormat="1" ht="30" customHeight="1" x14ac:dyDescent="0.25">
      <c r="A104" s="34"/>
      <c r="B104" s="35"/>
      <c r="C104" s="35"/>
      <c r="D104" s="35"/>
      <c r="E104" s="35"/>
      <c r="F104" s="35"/>
      <c r="G104" s="33"/>
    </row>
    <row r="105" spans="1:7" s="14" customFormat="1" ht="30" customHeight="1" x14ac:dyDescent="0.25">
      <c r="A105" s="34"/>
      <c r="B105" s="35"/>
      <c r="C105" s="35"/>
      <c r="D105" s="35"/>
      <c r="E105" s="35"/>
      <c r="F105" s="35"/>
      <c r="G105" s="33"/>
    </row>
    <row r="106" spans="1:7" s="14" customFormat="1" ht="30" customHeight="1" x14ac:dyDescent="0.25">
      <c r="A106" s="34"/>
      <c r="B106" s="35"/>
      <c r="C106" s="35"/>
      <c r="D106" s="35"/>
      <c r="E106" s="35"/>
      <c r="F106" s="35"/>
      <c r="G106" s="33"/>
    </row>
    <row r="107" spans="1:7" s="14" customFormat="1" ht="30" customHeight="1" x14ac:dyDescent="0.25">
      <c r="A107" s="34"/>
      <c r="B107" s="35"/>
      <c r="C107" s="35"/>
      <c r="D107" s="35"/>
      <c r="E107" s="35"/>
      <c r="F107" s="35"/>
      <c r="G107" s="33"/>
    </row>
    <row r="108" spans="1:7" s="14" customFormat="1" ht="30" customHeight="1" x14ac:dyDescent="0.25">
      <c r="A108" s="34"/>
      <c r="B108" s="35"/>
      <c r="C108" s="35"/>
      <c r="D108" s="35"/>
      <c r="E108" s="35"/>
      <c r="F108" s="35"/>
      <c r="G108" s="33"/>
    </row>
    <row r="109" spans="1:7" s="14" customFormat="1" ht="30" customHeight="1" x14ac:dyDescent="0.25">
      <c r="A109" s="34"/>
      <c r="B109" s="35"/>
      <c r="C109" s="35"/>
      <c r="D109" s="35"/>
      <c r="E109" s="35"/>
      <c r="F109" s="35"/>
      <c r="G109" s="33"/>
    </row>
    <row r="110" spans="1:7" s="14" customFormat="1" ht="30" customHeight="1" x14ac:dyDescent="0.25">
      <c r="A110" s="34"/>
      <c r="B110" s="35"/>
      <c r="C110" s="35"/>
      <c r="D110" s="35"/>
      <c r="E110" s="35"/>
      <c r="F110" s="35"/>
      <c r="G110" s="33"/>
    </row>
    <row r="111" spans="1:7" s="14" customFormat="1" ht="30" customHeight="1" x14ac:dyDescent="0.25">
      <c r="A111" s="34"/>
      <c r="B111" s="35"/>
      <c r="C111" s="35"/>
      <c r="D111" s="35"/>
      <c r="E111" s="35"/>
      <c r="F111" s="35"/>
      <c r="G111" s="33"/>
    </row>
    <row r="112" spans="1:7" ht="30" customHeight="1" thickBot="1" x14ac:dyDescent="0.4">
      <c r="A112" s="145"/>
      <c r="B112" s="146"/>
      <c r="C112" s="146"/>
      <c r="D112" s="146"/>
      <c r="E112" s="146"/>
      <c r="F112" s="146"/>
    </row>
    <row r="113" spans="1:8" s="106" customFormat="1" ht="38.25" customHeight="1" thickBot="1" x14ac:dyDescent="0.4">
      <c r="A113" s="208" t="s">
        <v>69</v>
      </c>
      <c r="B113" s="209"/>
      <c r="C113" s="209"/>
      <c r="D113" s="209"/>
      <c r="E113" s="209"/>
      <c r="F113" s="210"/>
      <c r="G113" s="103"/>
    </row>
    <row r="114" spans="1:8" s="11" customFormat="1" ht="38.25" customHeight="1" thickBot="1" x14ac:dyDescent="0.3">
      <c r="A114" s="243" t="s">
        <v>70</v>
      </c>
      <c r="B114" s="244"/>
      <c r="C114" s="244"/>
      <c r="D114" s="245"/>
      <c r="E114" s="185">
        <f>E37</f>
        <v>98506115.499999985</v>
      </c>
      <c r="F114" s="186"/>
      <c r="G114" s="33"/>
    </row>
    <row r="115" spans="1:8" s="11" customFormat="1" ht="38.25" customHeight="1" thickBot="1" x14ac:dyDescent="0.3">
      <c r="A115" s="195" t="s">
        <v>71</v>
      </c>
      <c r="B115" s="196"/>
      <c r="C115" s="196"/>
      <c r="D115" s="197"/>
      <c r="E115" s="185">
        <f>C87+D87</f>
        <v>92167666.229999989</v>
      </c>
      <c r="F115" s="186"/>
      <c r="G115" s="33"/>
      <c r="H115" s="32"/>
    </row>
    <row r="116" spans="1:8" s="11" customFormat="1" ht="38.25" customHeight="1" thickBot="1" x14ac:dyDescent="0.3">
      <c r="A116" s="195" t="s">
        <v>81</v>
      </c>
      <c r="B116" s="196"/>
      <c r="C116" s="196"/>
      <c r="D116" s="197"/>
      <c r="E116" s="201">
        <f>E34-(E115-E36)</f>
        <v>6338449.2699999958</v>
      </c>
      <c r="F116" s="202"/>
      <c r="G116" s="33"/>
    </row>
    <row r="117" spans="1:8" s="11" customFormat="1" ht="38.25" customHeight="1" thickBot="1" x14ac:dyDescent="0.3">
      <c r="A117" s="195" t="s">
        <v>73</v>
      </c>
      <c r="B117" s="196"/>
      <c r="C117" s="196"/>
      <c r="D117" s="197"/>
      <c r="E117" s="211">
        <v>0</v>
      </c>
      <c r="F117" s="212"/>
      <c r="G117" s="33"/>
    </row>
    <row r="118" spans="1:8" s="11" customFormat="1" ht="38.25" customHeight="1" thickBot="1" x14ac:dyDescent="0.3">
      <c r="A118" s="195" t="s">
        <v>74</v>
      </c>
      <c r="B118" s="196"/>
      <c r="C118" s="196"/>
      <c r="D118" s="197"/>
      <c r="E118" s="201">
        <f>E116-E117</f>
        <v>6338449.2699999958</v>
      </c>
      <c r="F118" s="202"/>
      <c r="G118" s="99">
        <v>6336449.2699999996</v>
      </c>
      <c r="H118" s="32"/>
    </row>
    <row r="119" spans="1:8" ht="30" customHeight="1" x14ac:dyDescent="0.35">
      <c r="A119" s="119"/>
      <c r="B119" s="118"/>
      <c r="C119" s="118"/>
      <c r="D119" s="118"/>
      <c r="E119" s="118"/>
      <c r="F119" s="118"/>
      <c r="G119" s="103">
        <f>G118-E118</f>
        <v>-1999.9999999962747</v>
      </c>
    </row>
    <row r="120" spans="1:8" ht="30" customHeight="1" x14ac:dyDescent="0.35">
      <c r="A120" s="246" t="s">
        <v>75</v>
      </c>
      <c r="B120" s="246"/>
      <c r="C120" s="246"/>
      <c r="D120" s="246"/>
      <c r="E120" s="246"/>
      <c r="F120" s="246"/>
    </row>
    <row r="121" spans="1:8" ht="30" customHeight="1" x14ac:dyDescent="0.35">
      <c r="A121" s="246"/>
      <c r="B121" s="246"/>
      <c r="C121" s="246"/>
      <c r="D121" s="246"/>
      <c r="E121" s="246"/>
      <c r="F121" s="246"/>
    </row>
    <row r="122" spans="1:8" ht="30" customHeight="1" x14ac:dyDescent="0.35">
      <c r="A122" s="147"/>
      <c r="B122" s="147"/>
      <c r="C122" s="147"/>
      <c r="D122" s="147"/>
      <c r="E122" s="147"/>
      <c r="F122" s="147"/>
    </row>
    <row r="123" spans="1:8" ht="30" customHeight="1" x14ac:dyDescent="0.35">
      <c r="A123" s="147"/>
      <c r="B123" s="147"/>
      <c r="C123" s="147"/>
      <c r="D123" s="147"/>
      <c r="E123" s="147"/>
      <c r="F123" s="147"/>
    </row>
    <row r="124" spans="1:8" ht="30" customHeight="1" x14ac:dyDescent="0.35">
      <c r="A124" s="147"/>
      <c r="B124" s="147"/>
      <c r="C124" s="147"/>
      <c r="D124" s="147"/>
      <c r="E124" s="147"/>
      <c r="F124" s="147"/>
    </row>
    <row r="125" spans="1:8" ht="30" customHeight="1" x14ac:dyDescent="0.35">
      <c r="A125" s="147"/>
      <c r="B125" s="147"/>
      <c r="C125" s="147"/>
      <c r="D125" s="147"/>
      <c r="E125" s="147"/>
      <c r="F125" s="147"/>
    </row>
    <row r="126" spans="1:8" ht="30" customHeight="1" x14ac:dyDescent="0.4">
      <c r="A126" s="148"/>
      <c r="B126" s="149"/>
      <c r="C126" s="149"/>
      <c r="D126" s="149"/>
      <c r="E126" s="150"/>
      <c r="F126" s="151"/>
    </row>
    <row r="127" spans="1:8" ht="30" customHeight="1" x14ac:dyDescent="0.4">
      <c r="A127" s="73" t="s">
        <v>144</v>
      </c>
      <c r="B127" s="149"/>
      <c r="C127" s="149"/>
      <c r="D127" s="149"/>
      <c r="E127" s="150"/>
      <c r="F127" s="151"/>
    </row>
    <row r="128" spans="1:8" ht="30" customHeight="1" x14ac:dyDescent="0.4">
      <c r="A128" s="152"/>
      <c r="B128" s="149"/>
      <c r="C128" s="149"/>
      <c r="D128" s="149"/>
      <c r="E128" s="150"/>
      <c r="F128" s="151"/>
    </row>
    <row r="129" spans="1:9" ht="30" customHeight="1" x14ac:dyDescent="0.4">
      <c r="A129" s="152"/>
      <c r="B129" s="149"/>
      <c r="C129" s="149"/>
      <c r="D129" s="149"/>
      <c r="E129" s="150"/>
      <c r="F129" s="151"/>
    </row>
    <row r="130" spans="1:9" ht="30" customHeight="1" x14ac:dyDescent="0.4">
      <c r="A130" s="152"/>
      <c r="B130" s="149"/>
      <c r="C130" s="149"/>
      <c r="D130" s="149"/>
      <c r="E130" s="150"/>
      <c r="F130" s="151"/>
    </row>
    <row r="131" spans="1:9" ht="30" customHeight="1" x14ac:dyDescent="0.4">
      <c r="A131" s="152"/>
      <c r="B131" s="149"/>
      <c r="C131" s="149"/>
      <c r="D131" s="149"/>
      <c r="E131" s="150"/>
      <c r="F131" s="151"/>
    </row>
    <row r="132" spans="1:9" ht="30" customHeight="1" x14ac:dyDescent="0.4">
      <c r="A132" s="82"/>
      <c r="B132" s="79" t="s">
        <v>193</v>
      </c>
      <c r="C132" s="5"/>
      <c r="D132" s="79" t="s">
        <v>192</v>
      </c>
      <c r="E132" s="5"/>
      <c r="F132" s="82"/>
      <c r="G132" s="80"/>
      <c r="H132" s="81"/>
    </row>
    <row r="133" spans="1:9" ht="30" customHeight="1" x14ac:dyDescent="0.4">
      <c r="A133" s="82"/>
      <c r="B133" s="78" t="s">
        <v>194</v>
      </c>
      <c r="C133" s="5"/>
      <c r="D133" s="78" t="s">
        <v>191</v>
      </c>
      <c r="E133" s="5"/>
      <c r="F133" s="82"/>
      <c r="G133" s="80"/>
      <c r="H133" s="81"/>
    </row>
    <row r="134" spans="1:9" s="83" customFormat="1" ht="30" customHeight="1" x14ac:dyDescent="0.4">
      <c r="B134" s="84"/>
      <c r="C134" s="84"/>
      <c r="D134" s="84"/>
      <c r="E134" s="84"/>
      <c r="F134" s="6"/>
      <c r="G134" s="80"/>
      <c r="H134" s="81"/>
    </row>
    <row r="135" spans="1:9" s="83" customFormat="1" ht="30" x14ac:dyDescent="0.4">
      <c r="B135" s="84"/>
      <c r="C135" s="84"/>
      <c r="D135" s="84"/>
      <c r="E135" s="84"/>
      <c r="F135" s="6"/>
      <c r="G135" s="80"/>
      <c r="H135" s="81"/>
    </row>
    <row r="136" spans="1:9" s="83" customFormat="1" ht="30" x14ac:dyDescent="0.4">
      <c r="B136" s="84"/>
      <c r="C136" s="84"/>
      <c r="D136" s="84"/>
      <c r="E136" s="84"/>
      <c r="F136" s="6"/>
      <c r="G136" s="80"/>
      <c r="H136" s="81"/>
    </row>
    <row r="137" spans="1:9" s="83" customFormat="1" ht="30" x14ac:dyDescent="0.4">
      <c r="B137" s="84"/>
      <c r="C137" s="84"/>
      <c r="D137" s="84"/>
      <c r="E137" s="84"/>
      <c r="F137" s="6"/>
      <c r="G137" s="80"/>
      <c r="H137" s="81"/>
    </row>
    <row r="138" spans="1:9" s="83" customFormat="1" ht="30" x14ac:dyDescent="0.4">
      <c r="B138" s="84"/>
      <c r="C138" s="84"/>
      <c r="D138" s="84"/>
      <c r="E138" s="84"/>
      <c r="F138" s="6"/>
      <c r="G138" s="80"/>
      <c r="H138" s="81"/>
    </row>
    <row r="139" spans="1:9" s="83" customFormat="1" ht="30" x14ac:dyDescent="0.4">
      <c r="B139" s="84"/>
      <c r="C139" s="86" t="s">
        <v>76</v>
      </c>
      <c r="E139" s="84"/>
      <c r="F139" s="6"/>
      <c r="G139" s="80"/>
      <c r="H139" s="81"/>
    </row>
    <row r="140" spans="1:9" s="83" customFormat="1" ht="30" x14ac:dyDescent="0.4">
      <c r="C140" s="215" t="s">
        <v>77</v>
      </c>
      <c r="D140" s="215"/>
      <c r="F140" s="6"/>
      <c r="G140" s="80"/>
      <c r="H140" s="81"/>
    </row>
    <row r="141" spans="1:9" s="83" customFormat="1" ht="30" x14ac:dyDescent="0.4">
      <c r="B141" s="85"/>
      <c r="C141" s="86"/>
      <c r="F141" s="6"/>
      <c r="G141" s="104"/>
      <c r="H141" s="104"/>
      <c r="I141" s="104"/>
    </row>
    <row r="142" spans="1:9" s="83" customFormat="1" ht="30" x14ac:dyDescent="0.4">
      <c r="B142" s="85"/>
      <c r="C142" s="215"/>
      <c r="D142" s="215"/>
      <c r="E142" s="84"/>
      <c r="F142" s="6"/>
      <c r="G142" s="104"/>
      <c r="H142" s="104"/>
      <c r="I142" s="104"/>
    </row>
    <row r="152" spans="1:6" ht="30" x14ac:dyDescent="0.4">
      <c r="A152" s="78"/>
      <c r="B152" s="82"/>
      <c r="C152" s="82"/>
      <c r="D152" s="82"/>
      <c r="E152" s="82"/>
      <c r="F152" s="82"/>
    </row>
    <row r="153" spans="1:6" ht="30" x14ac:dyDescent="0.4">
      <c r="A153" s="78"/>
      <c r="B153" s="82"/>
      <c r="C153" s="82"/>
      <c r="D153" s="82"/>
      <c r="E153" s="82"/>
      <c r="F153" s="82"/>
    </row>
    <row r="156" spans="1:6" ht="48.75" customHeight="1" x14ac:dyDescent="0.35">
      <c r="B156" s="82"/>
      <c r="C156" s="82"/>
      <c r="D156" s="82"/>
      <c r="E156" s="82"/>
      <c r="F156" s="82"/>
    </row>
    <row r="157" spans="1:6" ht="48.75" customHeight="1" x14ac:dyDescent="0.35">
      <c r="B157" s="82"/>
      <c r="C157" s="82"/>
      <c r="D157" s="82"/>
      <c r="E157" s="82"/>
      <c r="F157" s="82"/>
    </row>
    <row r="163" spans="2:6" x14ac:dyDescent="0.35">
      <c r="B163" s="82"/>
      <c r="C163" s="82"/>
      <c r="D163" s="82"/>
      <c r="E163" s="82"/>
      <c r="F163" s="82"/>
    </row>
    <row r="164" spans="2:6" x14ac:dyDescent="0.35">
      <c r="B164" s="82"/>
      <c r="C164" s="82"/>
      <c r="D164" s="82"/>
      <c r="E164" s="82"/>
      <c r="F164" s="82"/>
    </row>
    <row r="166" spans="2:6" ht="30" x14ac:dyDescent="0.4">
      <c r="B166" s="78"/>
      <c r="C166" s="78"/>
      <c r="D166" s="78"/>
      <c r="E166" s="78"/>
      <c r="F166" s="78"/>
    </row>
    <row r="167" spans="2:6" ht="30" x14ac:dyDescent="0.4">
      <c r="B167" s="78"/>
      <c r="C167" s="154"/>
      <c r="D167" s="155"/>
      <c r="E167" s="154"/>
      <c r="F167" s="154"/>
    </row>
    <row r="170" spans="2:6" ht="30" x14ac:dyDescent="0.4">
      <c r="B170" s="242"/>
      <c r="C170" s="242"/>
      <c r="D170" s="78"/>
      <c r="E170" s="78"/>
      <c r="F170" s="78"/>
    </row>
    <row r="171" spans="2:6" ht="30" x14ac:dyDescent="0.4">
      <c r="B171" s="242"/>
      <c r="C171" s="242"/>
      <c r="D171" s="242"/>
      <c r="E171" s="242"/>
      <c r="F171" s="155"/>
    </row>
    <row r="177" spans="2:6" ht="30" x14ac:dyDescent="0.4">
      <c r="B177" s="242"/>
      <c r="C177" s="242"/>
      <c r="D177" s="78"/>
      <c r="E177" s="78"/>
      <c r="F177" s="78"/>
    </row>
    <row r="178" spans="2:6" ht="30" x14ac:dyDescent="0.4">
      <c r="B178" s="242"/>
      <c r="C178" s="242"/>
      <c r="D178" s="154"/>
      <c r="E178" s="155"/>
      <c r="F178" s="155"/>
    </row>
  </sheetData>
  <sheetProtection algorithmName="SHA-512" hashValue="ByvRnnL6VZynBWIyw7sif0poedpSp9YA7XvPxh4fWknd4Lrwn69sKLfDPrqjNthrK7yQbkYCK0iIoQ8cTZbOPw==" saltValue="gdvCoJoDLFb2GuWVtouNOg==" spinCount="100000" sheet="1" objects="1" scenarios="1" selectLockedCells="1" selectUnlockedCells="1"/>
  <mergeCells count="50">
    <mergeCell ref="A24:B24"/>
    <mergeCell ref="E24:F24"/>
    <mergeCell ref="A9:F9"/>
    <mergeCell ref="A10:F10"/>
    <mergeCell ref="A18:F20"/>
    <mergeCell ref="A33:D33"/>
    <mergeCell ref="E33:F33"/>
    <mergeCell ref="A25:B25"/>
    <mergeCell ref="E25:F25"/>
    <mergeCell ref="E26:F26"/>
    <mergeCell ref="A27:F27"/>
    <mergeCell ref="E28:F28"/>
    <mergeCell ref="E29:F29"/>
    <mergeCell ref="A30:D30"/>
    <mergeCell ref="E30:F30"/>
    <mergeCell ref="A31:D31"/>
    <mergeCell ref="E31:F31"/>
    <mergeCell ref="E32:F32"/>
    <mergeCell ref="A32:D32"/>
    <mergeCell ref="A113:F113"/>
    <mergeCell ref="A34:D34"/>
    <mergeCell ref="E34:F34"/>
    <mergeCell ref="A35:D35"/>
    <mergeCell ref="E35:F35"/>
    <mergeCell ref="A36:D36"/>
    <mergeCell ref="E36:F36"/>
    <mergeCell ref="A37:D37"/>
    <mergeCell ref="E37:F37"/>
    <mergeCell ref="A56:F57"/>
    <mergeCell ref="A62:F62"/>
    <mergeCell ref="A63:F63"/>
    <mergeCell ref="A40:C40"/>
    <mergeCell ref="C142:D142"/>
    <mergeCell ref="A114:D114"/>
    <mergeCell ref="E114:F114"/>
    <mergeCell ref="A115:D115"/>
    <mergeCell ref="E115:F115"/>
    <mergeCell ref="A116:D116"/>
    <mergeCell ref="E116:F116"/>
    <mergeCell ref="A117:D117"/>
    <mergeCell ref="E117:F117"/>
    <mergeCell ref="A118:D118"/>
    <mergeCell ref="E118:F118"/>
    <mergeCell ref="A120:F121"/>
    <mergeCell ref="C140:D140"/>
    <mergeCell ref="B170:C170"/>
    <mergeCell ref="B171:C171"/>
    <mergeCell ref="D171:E171"/>
    <mergeCell ref="B177:C177"/>
    <mergeCell ref="B178:C178"/>
  </mergeCells>
  <printOptions horizontalCentered="1"/>
  <pageMargins left="0.39370078740157483" right="0.39370078740157483" top="0.39370078740157483" bottom="0.39370078740157483" header="0.11811023622047245" footer="0.51181102362204722"/>
  <pageSetup paperSize="9" scale="36" fitToHeight="0" orientation="portrait" r:id="rId1"/>
  <rowBreaks count="2" manualBreakCount="2">
    <brk id="46" max="5" man="1"/>
    <brk id="10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Anexo 17 - ESTADUAL</vt:lpstr>
      <vt:lpstr>Anexo 17 - FEDERAL</vt:lpstr>
      <vt:lpstr>Anexo 17 - PRÓPRIO</vt:lpstr>
      <vt:lpstr>'Anexo 17 - ESTADUAL'!Area_de_impressao</vt:lpstr>
      <vt:lpstr>'Anexo 17 - FEDERAL'!Area_de_impressao</vt:lpstr>
      <vt:lpstr>'Anexo 17 - PRÓPRIO'!Area_de_impressao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</dc:creator>
  <cp:lastModifiedBy>CONTABILIDADE</cp:lastModifiedBy>
  <cp:lastPrinted>2026-06-30T11:45:45Z</cp:lastPrinted>
  <dcterms:created xsi:type="dcterms:W3CDTF">2022-07-15T14:23:28Z</dcterms:created>
  <dcterms:modified xsi:type="dcterms:W3CDTF">2026-06-30T11:45:56Z</dcterms:modified>
</cp:coreProperties>
</file>