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ontabilidade\Desktop\Atualização\DIRD\Arrumados\"/>
    </mc:Choice>
  </mc:AlternateContent>
  <bookViews>
    <workbookView xWindow="0" yWindow="0" windowWidth="20490" windowHeight="6630" tabRatio="956"/>
  </bookViews>
  <sheets>
    <sheet name="Anexo 17 - Rec. FEDERAL" sheetId="4" r:id="rId1"/>
    <sheet name="Anexo 17 - Rec. Piso Enfermagem" sheetId="18" r:id="rId2"/>
    <sheet name="Anexo 17 - Rec. Estadual" sheetId="3" r:id="rId3"/>
    <sheet name="Anexo 17 - Rec. Próprio" sheetId="8" r:id="rId4"/>
  </sheets>
  <definedNames>
    <definedName name="_xlnm.Print_Area" localSheetId="2">'Anexo 17 - Rec. Estadual'!$A$1:$F$160</definedName>
    <definedName name="_xlnm.Print_Area" localSheetId="0">'Anexo 17 - Rec. FEDERAL'!$A$1:$F$206</definedName>
    <definedName name="_xlnm.Print_Area" localSheetId="1">'Anexo 17 - Rec. Piso Enfermagem'!$A$1:$F$146</definedName>
    <definedName name="_xlnm.Print_Area" localSheetId="3">'Anexo 17 - Rec. Próprio'!$A$1:$F$143</definedName>
    <definedName name="AVCB" localSheetId="1">#REF!</definedName>
    <definedName name="AVCB">#REF!</definedName>
    <definedName name="avcb2" localSheetId="1">SUM(#REF!)</definedName>
    <definedName name="avcb2">SUM(#REF!)</definedName>
    <definedName name="codigo" localSheetId="1">#REF!</definedName>
    <definedName name="codigo" localSheetId="3">#REF!</definedName>
    <definedName name="codigo">#REF!</definedName>
    <definedName name="conta" localSheetId="1">#REF!</definedName>
    <definedName name="conta" localSheetId="3">#REF!</definedName>
    <definedName name="conta">#REF!</definedName>
    <definedName name="conta2" localSheetId="1">#REF!</definedName>
    <definedName name="conta2" localSheetId="3">#REF!</definedName>
    <definedName name="conta2">#REF!</definedName>
    <definedName name="dfg" localSheetId="1">SUM(#REF!)</definedName>
    <definedName name="dfg" localSheetId="3">SUM(#REF!)</definedName>
    <definedName name="dfg">SUM(#REF!)</definedName>
    <definedName name="fluxocaixa" localSheetId="1">#REF!</definedName>
    <definedName name="fluxocaixa" localSheetId="3">#REF!</definedName>
    <definedName name="fluxocaixa">#REF!</definedName>
    <definedName name="TotalDespesasMensais" localSheetId="1">SUM(#REF!)</definedName>
    <definedName name="TotalDespesasMensais" localSheetId="3">SUM(#REF!)</definedName>
    <definedName name="TotalDespesasMensais">SUM(#REF!)</definedName>
    <definedName name="Totalmensal" localSheetId="1">SUM(#REF!)</definedName>
    <definedName name="Totalmensal" localSheetId="3">SUM(#REF!)</definedName>
    <definedName name="Totalmensal">SUM(#REF!)</definedName>
    <definedName name="TotalRendaMensal" localSheetId="1">SUM(#REF!)</definedName>
    <definedName name="TotalRendaMensal" localSheetId="3">SUM(#REF!)</definedName>
    <definedName name="TotalRendaMensal">SUM(#REF!)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80" i="8" l="1"/>
  <c r="D79" i="8"/>
  <c r="B100" i="3" l="1"/>
  <c r="B101" i="3"/>
  <c r="B91" i="3"/>
  <c r="F91" i="3"/>
  <c r="F101" i="3"/>
  <c r="D101" i="3"/>
  <c r="E49" i="3"/>
  <c r="D100" i="3"/>
  <c r="C100" i="3"/>
  <c r="E48" i="3"/>
  <c r="E47" i="3"/>
  <c r="D139" i="4"/>
  <c r="D137" i="4"/>
  <c r="D136" i="4"/>
  <c r="E103" i="4"/>
  <c r="D148" i="4"/>
  <c r="D140" i="4"/>
  <c r="F71" i="8" l="1"/>
  <c r="F74" i="8"/>
  <c r="F73" i="8"/>
  <c r="F88" i="3"/>
  <c r="F136" i="4"/>
  <c r="F80" i="8" l="1"/>
  <c r="F78" i="8"/>
  <c r="F76" i="8"/>
  <c r="F141" i="4"/>
  <c r="F137" i="4"/>
  <c r="E104" i="4" l="1"/>
  <c r="F87" i="8" l="1"/>
  <c r="F79" i="8"/>
  <c r="F83" i="8" l="1"/>
  <c r="F81" i="8"/>
  <c r="F77" i="8"/>
  <c r="F75" i="8"/>
  <c r="F74" i="18"/>
  <c r="F95" i="3"/>
  <c r="F143" i="4"/>
  <c r="F140" i="4"/>
  <c r="F139" i="4"/>
  <c r="E50" i="3" l="1"/>
  <c r="C143" i="4" l="1"/>
  <c r="D86" i="8" l="1"/>
  <c r="D85" i="8"/>
  <c r="D83" i="8"/>
  <c r="D82" i="8"/>
  <c r="D81" i="8"/>
  <c r="D78" i="8"/>
  <c r="D77" i="8"/>
  <c r="D76" i="8"/>
  <c r="D75" i="8"/>
  <c r="D74" i="8"/>
  <c r="D73" i="8"/>
  <c r="D71" i="8"/>
  <c r="E33" i="8"/>
  <c r="E32" i="8"/>
  <c r="E31" i="8"/>
  <c r="D74" i="18"/>
  <c r="E35" i="18"/>
  <c r="E34" i="18"/>
  <c r="E32" i="18"/>
  <c r="D102" i="3"/>
  <c r="D97" i="3"/>
  <c r="D95" i="3"/>
  <c r="D93" i="3"/>
  <c r="D92" i="3"/>
  <c r="D91" i="3"/>
  <c r="D90" i="3"/>
  <c r="D88" i="3"/>
  <c r="E43" i="3"/>
  <c r="D143" i="4"/>
  <c r="D141" i="4"/>
  <c r="E92" i="4" l="1"/>
  <c r="E102" i="4" s="1"/>
  <c r="C71" i="8" l="1"/>
  <c r="C78" i="8" l="1"/>
  <c r="C77" i="8"/>
  <c r="C76" i="8"/>
  <c r="C140" i="4" l="1"/>
  <c r="C141" i="4" l="1"/>
  <c r="E31" i="18" l="1"/>
  <c r="E42" i="3"/>
  <c r="B30" i="18" l="1"/>
  <c r="E30" i="18" s="1"/>
  <c r="F90" i="18"/>
  <c r="D90" i="18"/>
  <c r="C90" i="18"/>
  <c r="E89" i="18"/>
  <c r="B89" i="18"/>
  <c r="E88" i="18"/>
  <c r="B88" i="18"/>
  <c r="E87" i="18"/>
  <c r="B87" i="18"/>
  <c r="E86" i="18"/>
  <c r="B86" i="18"/>
  <c r="E85" i="18"/>
  <c r="B85" i="18"/>
  <c r="E84" i="18"/>
  <c r="B84" i="18"/>
  <c r="E83" i="18"/>
  <c r="B83" i="18"/>
  <c r="E82" i="18"/>
  <c r="B82" i="18"/>
  <c r="E81" i="18"/>
  <c r="B81" i="18"/>
  <c r="E80" i="18"/>
  <c r="B80" i="18"/>
  <c r="E79" i="18"/>
  <c r="B79" i="18"/>
  <c r="E78" i="18"/>
  <c r="B78" i="18"/>
  <c r="E77" i="18"/>
  <c r="B77" i="18"/>
  <c r="E76" i="18"/>
  <c r="B76" i="18"/>
  <c r="E75" i="18"/>
  <c r="B75" i="18"/>
  <c r="E74" i="18"/>
  <c r="E90" i="18" s="1"/>
  <c r="B74" i="18"/>
  <c r="B90" i="18" s="1"/>
  <c r="E37" i="18"/>
  <c r="E40" i="18" s="1"/>
  <c r="E117" i="18" s="1"/>
  <c r="E41" i="3"/>
  <c r="D138" i="4"/>
  <c r="E118" i="18" l="1"/>
  <c r="D87" i="8"/>
  <c r="E119" i="18"/>
  <c r="E121" i="18" s="1"/>
  <c r="E40" i="3"/>
  <c r="E39" i="3" l="1"/>
  <c r="C88" i="3" l="1"/>
  <c r="E38" i="3"/>
  <c r="C74" i="8" l="1"/>
  <c r="E37" i="3"/>
  <c r="E36" i="3" l="1"/>
  <c r="D103" i="3" l="1"/>
  <c r="E35" i="3" l="1"/>
  <c r="C83" i="8" l="1"/>
  <c r="C80" i="8" l="1"/>
  <c r="C73" i="8"/>
  <c r="C139" i="4"/>
  <c r="C137" i="4"/>
  <c r="C136" i="4"/>
  <c r="E105" i="4" l="1"/>
  <c r="D98" i="3"/>
  <c r="C98" i="3"/>
  <c r="E30" i="4" l="1"/>
  <c r="E30" i="8" l="1"/>
  <c r="B134" i="4"/>
  <c r="E134" i="4"/>
  <c r="B135" i="4"/>
  <c r="E135" i="4"/>
  <c r="B136" i="4"/>
  <c r="E136" i="4"/>
  <c r="B137" i="4"/>
  <c r="E137" i="4"/>
  <c r="E138" i="4"/>
  <c r="B139" i="4"/>
  <c r="E139" i="4"/>
  <c r="B140" i="4"/>
  <c r="E140" i="4"/>
  <c r="B141" i="4"/>
  <c r="E141" i="4"/>
  <c r="B142" i="4"/>
  <c r="E142" i="4"/>
  <c r="B143" i="4"/>
  <c r="E143" i="4"/>
  <c r="B144" i="4"/>
  <c r="E144" i="4"/>
  <c r="B145" i="4"/>
  <c r="E145" i="4"/>
  <c r="B146" i="4"/>
  <c r="E146" i="4"/>
  <c r="B147" i="4"/>
  <c r="E147" i="4"/>
  <c r="E148" i="4"/>
  <c r="B149" i="4"/>
  <c r="E149" i="4"/>
  <c r="B148" i="4" l="1"/>
  <c r="B138" i="4"/>
  <c r="E71" i="8" l="1"/>
  <c r="D150" i="4" l="1"/>
  <c r="E34" i="8"/>
  <c r="C87" i="8" l="1"/>
  <c r="E51" i="3" l="1"/>
  <c r="E86" i="8" l="1"/>
  <c r="B86" i="8"/>
  <c r="E85" i="8"/>
  <c r="B85" i="8"/>
  <c r="E84" i="8"/>
  <c r="B84" i="8"/>
  <c r="E83" i="8"/>
  <c r="B83" i="8"/>
  <c r="E82" i="8"/>
  <c r="B82" i="8"/>
  <c r="E81" i="8"/>
  <c r="B81" i="8"/>
  <c r="E80" i="8"/>
  <c r="B80" i="8"/>
  <c r="E79" i="8"/>
  <c r="B79" i="8"/>
  <c r="E78" i="8"/>
  <c r="B78" i="8"/>
  <c r="E77" i="8"/>
  <c r="B77" i="8"/>
  <c r="E76" i="8"/>
  <c r="B76" i="8"/>
  <c r="E75" i="8"/>
  <c r="B75" i="8"/>
  <c r="E74" i="8"/>
  <c r="B74" i="8"/>
  <c r="E73" i="8"/>
  <c r="B73" i="8"/>
  <c r="E72" i="8"/>
  <c r="B72" i="8"/>
  <c r="B71" i="8"/>
  <c r="E37" i="8"/>
  <c r="E114" i="8" s="1"/>
  <c r="E87" i="8" l="1"/>
  <c r="E115" i="8"/>
  <c r="B87" i="8"/>
  <c r="E116" i="8" l="1"/>
  <c r="E118" i="8" s="1"/>
  <c r="F150" i="4" l="1"/>
  <c r="C150" i="4"/>
  <c r="F104" i="3"/>
  <c r="D104" i="3"/>
  <c r="C104" i="3"/>
  <c r="E103" i="3"/>
  <c r="B103" i="3"/>
  <c r="E102" i="3"/>
  <c r="B102" i="3"/>
  <c r="E101" i="3"/>
  <c r="E100" i="3"/>
  <c r="E99" i="3"/>
  <c r="B99" i="3"/>
  <c r="E98" i="3"/>
  <c r="B98" i="3"/>
  <c r="E97" i="3"/>
  <c r="B97" i="3"/>
  <c r="E96" i="3"/>
  <c r="B96" i="3"/>
  <c r="E95" i="3"/>
  <c r="B95" i="3"/>
  <c r="E94" i="3"/>
  <c r="B94" i="3"/>
  <c r="E93" i="3"/>
  <c r="B93" i="3"/>
  <c r="E92" i="3"/>
  <c r="B92" i="3"/>
  <c r="E91" i="3"/>
  <c r="E90" i="3"/>
  <c r="B90" i="3"/>
  <c r="E89" i="3"/>
  <c r="B89" i="3"/>
  <c r="E88" i="3"/>
  <c r="B88" i="3"/>
  <c r="E104" i="3" l="1"/>
  <c r="E132" i="3"/>
  <c r="E133" i="3" s="1"/>
  <c r="E135" i="3" s="1"/>
  <c r="E108" i="4"/>
  <c r="E177" i="4" s="1"/>
  <c r="B104" i="3"/>
  <c r="E150" i="4"/>
  <c r="B150" i="4"/>
  <c r="E54" i="3"/>
  <c r="E131" i="3" s="1"/>
  <c r="E178" i="4"/>
  <c r="E179" i="4" s="1"/>
  <c r="E181" i="4" s="1"/>
</calcChain>
</file>

<file path=xl/sharedStrings.xml><?xml version="1.0" encoding="utf-8"?>
<sst xmlns="http://schemas.openxmlformats.org/spreadsheetml/2006/main" count="581" uniqueCount="243">
  <si>
    <t>TOTAL</t>
  </si>
  <si>
    <t>INTEGRAL DAS RECEITAS E DESPESAS - TERMO DE CONVÊNIO</t>
  </si>
  <si>
    <t>DOCUMENTO</t>
  </si>
  <si>
    <t>DATA</t>
  </si>
  <si>
    <t>VIGÊNCIA</t>
  </si>
  <si>
    <t>VALOR - R$</t>
  </si>
  <si>
    <t>DEMONSTRATIVO DOS RECURSOS DISPONÍVEIS NO EXERCÍCIO</t>
  </si>
  <si>
    <t>VALORES PREVISTOS (R$)</t>
  </si>
  <si>
    <t>DATA DO REPASSE</t>
  </si>
  <si>
    <t>NÚMERO DO DOCUMENTO DE CRÉDITO</t>
  </si>
  <si>
    <t>VALORES REPASSADOS (R$)</t>
  </si>
  <si>
    <t>(C) RECEITAS COM APLICAÇÕES FINANCEIRAS DOS REPASSES PÚBLICOS</t>
  </si>
  <si>
    <t>(D) OUTRAS RECEITAS DECORRENTES DA EXECUÇÃO DO AJUSTE (3)</t>
  </si>
  <si>
    <t>(E) TOTAL DE RECURSOS PÚBLICOS (A + B+ C + D)</t>
  </si>
  <si>
    <t>(F) RECURSOS PRÓPRIOS DA ENTIDADE BENEFICIÁRIA</t>
  </si>
  <si>
    <t>(G) TOTAL DE RECURSOS DISPONIVEIS NO EXERCICIO (E + F)</t>
  </si>
  <si>
    <t>(1) Verba: Federal, Estadual ou Municipal, devendo ser elaborado um anexo para cada fonte de recurso.</t>
  </si>
  <si>
    <t>(2) Incluir valores previstos no exercício anterior a repassados neste exercício.</t>
  </si>
  <si>
    <t>DEMONSTRATIVO DAS DESPESAS INCORRIDAS NO EXERCÍCIO</t>
  </si>
  <si>
    <t>DESPESAS</t>
  </si>
  <si>
    <t>TOTAL DE</t>
  </si>
  <si>
    <t>CATEGORIA OU</t>
  </si>
  <si>
    <t>CONTABILIZADAS</t>
  </si>
  <si>
    <t>FINALIDADE DA</t>
  </si>
  <si>
    <t>EM EXERCÍCIOS</t>
  </si>
  <si>
    <t>NESTE EXERCÍCIO</t>
  </si>
  <si>
    <t>PAGAS</t>
  </si>
  <si>
    <t>NESTE EXERCÍCIO A</t>
  </si>
  <si>
    <t>DESPESA(8)</t>
  </si>
  <si>
    <t>NESTE</t>
  </si>
  <si>
    <t>ANTERIORES E</t>
  </si>
  <si>
    <t>E PAGAS NESTE</t>
  </si>
  <si>
    <t>PAGAR EM</t>
  </si>
  <si>
    <t>EXERCÍCIO (R$)</t>
  </si>
  <si>
    <t>PAGAS NESTE</t>
  </si>
  <si>
    <t>EXERCÍCIO</t>
  </si>
  <si>
    <t>EXERCÍCIOS</t>
  </si>
  <si>
    <t>(I)</t>
  </si>
  <si>
    <t>(R$)</t>
  </si>
  <si>
    <t>SEGUINTES (R$)</t>
  </si>
  <si>
    <t xml:space="preserve">(H) </t>
  </si>
  <si>
    <t>(J=H+I)</t>
  </si>
  <si>
    <t>Recursos humanos (5)</t>
  </si>
  <si>
    <t>Recursos humanos (6)</t>
  </si>
  <si>
    <t>Medicamentos</t>
  </si>
  <si>
    <t>Material médico e hospitalar (*)</t>
  </si>
  <si>
    <t>Gêneros alimentícios</t>
  </si>
  <si>
    <t>Outros materiais de consumo</t>
  </si>
  <si>
    <t>Servicos médicos (*)</t>
  </si>
  <si>
    <t>Outros serviços de terceiros</t>
  </si>
  <si>
    <t>Locações de imóveis</t>
  </si>
  <si>
    <t>Locações diversas</t>
  </si>
  <si>
    <t>Utilidades públicas (7)</t>
  </si>
  <si>
    <t>Combustível</t>
  </si>
  <si>
    <t>Bens e materiais permanentes</t>
  </si>
  <si>
    <t>Obras</t>
  </si>
  <si>
    <t>Despesas financeiras e bancárias</t>
  </si>
  <si>
    <t>Outras despesas</t>
  </si>
  <si>
    <t>(4) Verba: Federal, Estadual, Municipal e Recursos Próprios, devendo ser elaborado um anexo para cada fonte de recurso.</t>
  </si>
  <si>
    <t>(5) Salários, encargos e benefícios.</t>
  </si>
  <si>
    <t>(6) Autônomos e pessoa jurídica.</t>
  </si>
  <si>
    <t>(7) Energia eléltrica, água e esgoto, gás, telefone e internet.</t>
  </si>
  <si>
    <t>(8) No rol exemplificativo incluir também as aquisições e os compromissos assumidos que não são classificados contabilmente como DESPESAS, como,</t>
  </si>
  <si>
    <t>por exemplo, aquisição de bens permanentes.</t>
  </si>
  <si>
    <t>(9) Quando a diferença entre a Coluna DESPESAS CONTABILIZADAS NESTE EXERCICIO e a Coluna DESPESAS CONTABILIZADAS NESTE EXERCICIO</t>
  </si>
  <si>
    <t xml:space="preserve">E PAGAS NESTE EXERCÍCIO for decorrente de descontos obtidos ou pagamento de multa por atraso, o resultado não deve aparecer na coluna DESPESAS </t>
  </si>
  <si>
    <t>CONTABILIZADAS NESTE EXERCÍCIO A PAGAR EM EXERCÍCIOS SEGUINTES, uma vez que tais descontos ou multas são contabilizados em contas de</t>
  </si>
  <si>
    <t>receitas ou despesas. Assim sendo deverá ser indicado como nota de rodapé os valores e as respectivas contas de receitas e despesas.</t>
  </si>
  <si>
    <t>(*) Apenas para entidades da área da Saúde.</t>
  </si>
  <si>
    <t>DEMONSTRATIVO DO SALDO FINANCEIRO DO EXERCÍCIO</t>
  </si>
  <si>
    <t>(G) TOTAL DE RECURSOS DISPONÍVEL NO EXERCÍCIO</t>
  </si>
  <si>
    <t>(J) DESPESAS PAGAS NO EXERCÍCIO (H+I)</t>
  </si>
  <si>
    <t>(K) RECURSO PÚBLICO NAO APLICADO [E-(J-F)]</t>
  </si>
  <si>
    <t>(L) VALOR DEVOLVIDO AO ÓRGÃO PÚBLICO</t>
  </si>
  <si>
    <t>(M) VALOR AUTORIZADO PARA APLICAÇÃO NO EXERCÍCIO SEGUINTE (K-L)</t>
  </si>
  <si>
    <t>Declaro(amos), na qualidade de responsável(is) pela entidade supra epigrafada, sob as penas da Lei, que as despesas relacionadas comprovam a exata aplicação dos recursos recebidos para os fins indicados, conforme programa de trabalho aprovado, proposto ao Órgão Público Convenente.</t>
  </si>
  <si>
    <t>Irene Rodrigues Damasceno de Oliveira</t>
  </si>
  <si>
    <t xml:space="preserve">                          Contadora</t>
  </si>
  <si>
    <t xml:space="preserve">ANEXO RP-12 - REPASSES AO TERCEIRO SETOR - DEMONSTRATIVO  </t>
  </si>
  <si>
    <t>-</t>
  </si>
  <si>
    <t>(F) RECURSOS PROPRIOS DA ENTIDADE BENEFICIÁRIA (3)</t>
  </si>
  <si>
    <t>(K) RECURSO PRIVADA NAO APLICADO [E-(J-F)]</t>
  </si>
  <si>
    <t>DATA PREVISTA PARA O REPASSE (2)</t>
  </si>
  <si>
    <t>(A) SALDO DO EXERCÍCIO ANTERIOR</t>
  </si>
  <si>
    <t>(B) REPASSES PÚBLICOS NO EXERCÍCIO</t>
  </si>
  <si>
    <t>(3) Receitas com estacionamento, aluguéis, entre outras.</t>
  </si>
  <si>
    <r>
      <t xml:space="preserve">ÓRGÃO PÚBLICO CONVENENTE: </t>
    </r>
    <r>
      <rPr>
        <sz val="20"/>
        <color indexed="8"/>
        <rFont val="Arial"/>
        <family val="2"/>
      </rPr>
      <t>SECRETARIA DE ESTADO DA SAÚDE</t>
    </r>
  </si>
  <si>
    <r>
      <t xml:space="preserve">CONVENIADA: </t>
    </r>
    <r>
      <rPr>
        <sz val="20"/>
        <color indexed="8"/>
        <rFont val="Arial"/>
        <family val="2"/>
      </rPr>
      <t>SOCIEDADE BENEFICENTE SÃO CAMILO - HOSPITAL REGIONAL DO VALE DO PARAÍBA</t>
    </r>
  </si>
  <si>
    <r>
      <t xml:space="preserve">CNPJ: </t>
    </r>
    <r>
      <rPr>
        <sz val="20"/>
        <color indexed="8"/>
        <rFont val="Arial"/>
        <family val="2"/>
      </rPr>
      <t>60.975.737/0072-45</t>
    </r>
  </si>
  <si>
    <r>
      <t xml:space="preserve">ENDEREÇO e CEP: </t>
    </r>
    <r>
      <rPr>
        <sz val="20"/>
        <color indexed="8"/>
        <rFont val="Arial"/>
        <family val="2"/>
      </rPr>
      <t>AV. TIRADENTES, 280 - CENTRO - CEP 12.030-180 - TAUBATÉ</t>
    </r>
  </si>
  <si>
    <r>
      <t>RESPONSÁVEL(IS) PELA CONVENIADA:</t>
    </r>
    <r>
      <rPr>
        <sz val="20"/>
        <color indexed="8"/>
        <rFont val="Arial"/>
        <family val="2"/>
      </rPr>
      <t xml:space="preserve"> MATEUS LOCATELLI</t>
    </r>
  </si>
  <si>
    <r>
      <t xml:space="preserve">ORIGEM DOS RECURSOS (4): </t>
    </r>
    <r>
      <rPr>
        <sz val="20"/>
        <color indexed="8"/>
        <rFont val="Arial"/>
        <family val="2"/>
      </rPr>
      <t>FEDERAL (FUNDES)</t>
    </r>
  </si>
  <si>
    <t>ANEXO RP-12 - REPASSES AO TERCEIRO SETOR - DEMONSTRATIVO</t>
  </si>
  <si>
    <r>
      <t xml:space="preserve">ORIGEM DOS RECURSOS (4): </t>
    </r>
    <r>
      <rPr>
        <sz val="20"/>
        <color indexed="8"/>
        <rFont val="Arial"/>
        <family val="2"/>
      </rPr>
      <t xml:space="preserve">ESTADUAL - CUSTEIO </t>
    </r>
  </si>
  <si>
    <r>
      <t xml:space="preserve">ORIGEM DOS RECURSOS: </t>
    </r>
    <r>
      <rPr>
        <sz val="20"/>
        <color indexed="8"/>
        <rFont val="Arial"/>
        <family val="2"/>
      </rPr>
      <t>PRÓPRIO</t>
    </r>
  </si>
  <si>
    <t>Taubaté-SP, 31/12/2023</t>
  </si>
  <si>
    <r>
      <t xml:space="preserve">EXERCÍCIO: </t>
    </r>
    <r>
      <rPr>
        <sz val="20"/>
        <color indexed="8"/>
        <rFont val="Arial"/>
        <family val="2"/>
      </rPr>
      <t>JANEIRO A DEZEMBRO/2023</t>
    </r>
  </si>
  <si>
    <t>O (s) signatário(s), na qualidade de representante(s) da Sociedade Beneficente São Camilo vem indicar, na forma abaixo detalhada, as despesas incorridas e pagas nos exercícios 2023 bem como as despesas a pagar no exercício seguinte.</t>
  </si>
  <si>
    <t>Resolução SS nº 179, de 30 de dezembro de 2022 - Dispõe sobre o pagamento de valores complementares da produção de cirurgias eletivas, dos 54 procedimentos cirúrgicos eletivos prioritários, de média e alta complexidade realizados nos estabelecimentos de saúde que integram o SUS-SP.</t>
  </si>
  <si>
    <t>2023OB02490</t>
  </si>
  <si>
    <t>2023OB02556</t>
  </si>
  <si>
    <t>2023OB02562</t>
  </si>
  <si>
    <t>2023OB00880</t>
  </si>
  <si>
    <t>Resolução SS nº 26, de 17 de fevereiro de 2023 - Dispõe sobre o pagamento de valores complementares da produção de cirurgias eletivas, dos 54 procedimentos cirúrgicos eletivos prioritários, de média e alta complexidade realizados nos estabelecimentos de saúde que integram o SUS-SP, e dá providências correlatas.</t>
  </si>
  <si>
    <t>2023OB07074</t>
  </si>
  <si>
    <t>2023OB03478</t>
  </si>
  <si>
    <t>Resolução SS nº 29, de 01 de março de 2023 - Dispõe sobre o pagamento de valores complementares da produção de cirurgias eletivas, dos 54 procedimentos cirúrgicos eletivos prioritários, de média e alta complexidade realizados nos estabelecimentos de saúde que integram o SUS-SP e dá providencias correlatas.</t>
  </si>
  <si>
    <t>2023OB03776</t>
  </si>
  <si>
    <t>2023OB03822</t>
  </si>
  <si>
    <t>2023OB08756</t>
  </si>
  <si>
    <t>2023OB20775</t>
  </si>
  <si>
    <t>2023OB04252</t>
  </si>
  <si>
    <t>2023OB04258</t>
  </si>
  <si>
    <t>01/2023</t>
  </si>
  <si>
    <t>2023OB01019</t>
  </si>
  <si>
    <t>02/2023</t>
  </si>
  <si>
    <t>03/2023</t>
  </si>
  <si>
    <t>2023OB13589</t>
  </si>
  <si>
    <t>2023OB18011</t>
  </si>
  <si>
    <t>2023OB04388</t>
  </si>
  <si>
    <t>2023OB04772</t>
  </si>
  <si>
    <t>2023OB05568</t>
  </si>
  <si>
    <t>2023OB05695</t>
  </si>
  <si>
    <t>2023OB05715</t>
  </si>
  <si>
    <t>04/2023</t>
  </si>
  <si>
    <t>2023OB27099</t>
  </si>
  <si>
    <t>Portaria 443/2023 de 03/04/2023 - Estabelece recurso do Bloco de Manutenção das Ações e Serviços Públicos de Saúde - Grupo de Atenção Especializada, a ser disponibilizado aos estados, ao Distrito Federal e aos municípios, relativo ao auxílio financeiro às entidades privadas sem fins lucrativos que complementam o Sistema Único de Saúde - SUS, referente à diferença entre os saldos financeiros remanescentes de exercícios anteriores a 2018 e o montante estabelecido na Portaria GM/MS nº 96, de 07 de fevereiro de 2023, nos termos da Lei Complementar nº 197, de 6 de dezembro de 2022.</t>
  </si>
  <si>
    <t>2023OB07865</t>
  </si>
  <si>
    <t>Resolução SS nº 45, de 20 de abril de 2023 - Dispõe sobre o pagamento de valores complementares da produção de cirurgias eletivas, dos 54 procedimentos cirúrgicos eletivos prioritários, de média e alta complexidade realizados nos estabelecimentos de saúde que integram o SUS-SP e dá providencias correlatas.</t>
  </si>
  <si>
    <t>Resolução SS nº 49, de 04 de maio de 2023 - Dispõe sobre o pagamento de valores complementares da produção de cirurgias eletivas, dos 54 procedimentos cirúrgicos eletivos prioritários, de média e alta complexidade realizados nos estabelecimentos de saúde que integram o SUS-SP.</t>
  </si>
  <si>
    <t>2023OB36931</t>
  </si>
  <si>
    <t>2023OB45603</t>
  </si>
  <si>
    <t>2023OB08822</t>
  </si>
  <si>
    <t>2023OB08788</t>
  </si>
  <si>
    <t>2023OB08838</t>
  </si>
  <si>
    <t>2023OB50419</t>
  </si>
  <si>
    <t>05/2023</t>
  </si>
  <si>
    <t>2023OB40663</t>
  </si>
  <si>
    <t>2023OB11363</t>
  </si>
  <si>
    <t>2023OB11779</t>
  </si>
  <si>
    <t>2023OB11811</t>
  </si>
  <si>
    <t>06/2023</t>
  </si>
  <si>
    <t>2023OB53092</t>
  </si>
  <si>
    <t>Resolução SS nº 82, de 10 de julho de 2023 - "Dispõe sobre o pagamento de valores complementares da produção de cirurgias eletivas, dos 54 procedimentos cirúrgicos eletivos prioritários, de média e alta complexidade realizados nos estabelecimentos de saúde que integram o SUS-SP. "</t>
  </si>
  <si>
    <t>2023OB70552</t>
  </si>
  <si>
    <t>2023OB15239</t>
  </si>
  <si>
    <t>2023OB15641</t>
  </si>
  <si>
    <t>2023OB15674</t>
  </si>
  <si>
    <t>07/2023</t>
  </si>
  <si>
    <t>2023OB66169</t>
  </si>
  <si>
    <t>Resolução SS nº 112, de 23 de agosto de 2023 - "Dispõe sobre o pagamento de valores complementares da produção de cirurgias eletivas, dos 54 procedimentos cirúrgicos eletivos prioritários, de média e alta complexidade realizados nos estabelecimentos de saúde que integram o SUS-SP."</t>
  </si>
  <si>
    <t>2023OB20715</t>
  </si>
  <si>
    <t>2023OB20880</t>
  </si>
  <si>
    <t>2023OB20924</t>
  </si>
  <si>
    <t>2023OB85365</t>
  </si>
  <si>
    <t>08/2023</t>
  </si>
  <si>
    <t>2023OB77238</t>
  </si>
  <si>
    <t>2023OB87514</t>
  </si>
  <si>
    <t>2023OB23226</t>
  </si>
  <si>
    <t>09/2023</t>
  </si>
  <si>
    <t>2023OB89521</t>
  </si>
  <si>
    <t>Resolução SS nº 113, de 29 de agosto de 2023 - Dispõe sobre o pagamento de valores complementares da produção de cirurgias eletivas, dos 54 procedimentos cirúrgicos eletivos prioritários, de média e alta complexidade realizados nos estabelecimentos de saúde que integram o SUS-SP</t>
  </si>
  <si>
    <t>2023OB23738</t>
  </si>
  <si>
    <t>2023OB23755</t>
  </si>
  <si>
    <t>2023OB23722</t>
  </si>
  <si>
    <t>2023OB26577</t>
  </si>
  <si>
    <t>2023OBA7262</t>
  </si>
  <si>
    <t>2023OB25106</t>
  </si>
  <si>
    <t>2023OB26611</t>
  </si>
  <si>
    <t>2023OB26645</t>
  </si>
  <si>
    <t>2023OB23688</t>
  </si>
  <si>
    <t>10/2023</t>
  </si>
  <si>
    <t>Resolução SS Nº 140, DE 19 DE OUTUBRO DE 2023 - Dispõe sobre a execução de emendas parlamentares previstas na Lei Orçamentária Anual da União que acrescentam recursos ao Sistema Único de Saúde (SUS) para o incremento de Média e Alta omplexidade – MAC, e dá providencias correlatas.</t>
  </si>
  <si>
    <t>2023OB24868</t>
  </si>
  <si>
    <t>Resolução SS Nº 148, DE 27 DE OUTUBRO DE 2023 - Dispõe sobre a transferência de recursos decorrentes de diferenças nos valores do período de maio a agosto de 2023, do repasse da assistência financeira complementar da União destinada ao piso salarial nacional de enfermeiros, técnicos e auxiliares de enfermagem e parteiras, dos estabelecimentos da
Rede Complementar do SUS-SP (Convênios com entidades sem fins lucrativos e Contratos com entidades privadas).</t>
  </si>
  <si>
    <t>2023OB26864</t>
  </si>
  <si>
    <t>Resolução SS Nº 139, de 17 de outubro de 2023 - Dispõe sobre o pagamento de valores complementares da produção de cirurgias eletivas, dos 54 procedimentos cirúrgicos eletivos prioritários, de média e alta complexidade realizados nos estabelecimentos de saúde que integram o SUS-SP.</t>
  </si>
  <si>
    <t>2023OBA0690</t>
  </si>
  <si>
    <t>Resolução SS Nº 147, de 27 de outubro de 2023 - Dispõe sobre o pagamento de valores complementares da produção de cirurgias eletivas, dos 54 procedimentos cirúrgicos eletivos prioritários, de média e alta complexidade realizados nos estabelecimentos de saúde que integram o SUS-SP</t>
  </si>
  <si>
    <t>Resolução SS Nº 164, de 24 de novembro de 2023 - Dispõe sobre o repasse para os estabelecimentos de saúde, do recurso financeiro da Portaria GM/MS nº 1.174, de
25/08/2023, que revoga as Portarias GM/MS nº 1.099/2022 e 1.100/2022, QualiSUS Cardio e dá outras providências.</t>
  </si>
  <si>
    <t>2023OBB2249</t>
  </si>
  <si>
    <t>2023OB28305</t>
  </si>
  <si>
    <t>2023OB28550</t>
  </si>
  <si>
    <t>2023OB28515</t>
  </si>
  <si>
    <t>2023OB28685</t>
  </si>
  <si>
    <t>11/2023</t>
  </si>
  <si>
    <t>2023OBB3951</t>
  </si>
  <si>
    <t>Resolução SS Nº 166, de 28 de novembro de 2023 - Dispõe sobre o complemento financeiro referente a outubro de 2023, do repasse da assistência financeira complementar da União, destinada ao piso salarial nacional de enfermeiros, técnicos e auxiliares de enfermagem e parteiras, dos estabelecimentos da Rede Complementar do SUS-SP (Convênios com entidades sem fins lucrativos e Contratos com entidades privadas)</t>
  </si>
  <si>
    <t>2023OB28742</t>
  </si>
  <si>
    <r>
      <t>Resolução SS nº 171, de 22 de dezembro de 2022 - (</t>
    </r>
    <r>
      <rPr>
        <b/>
        <u/>
        <sz val="20"/>
        <rFont val="Arial"/>
        <family val="2"/>
      </rPr>
      <t>DEDUÇÃO</t>
    </r>
    <r>
      <rPr>
        <b/>
        <sz val="20"/>
        <rFont val="Arial"/>
        <family val="2"/>
      </rPr>
      <t>) -</t>
    </r>
    <r>
      <rPr>
        <sz val="20"/>
        <rFont val="Arial"/>
        <family val="2"/>
      </rPr>
      <t xml:space="preserve"> Dispõe sobre o Teto Financeiro de Alta Complexidade Hospitalar, dos prestadores de serviços sob gestão estadual, nos convênios e contratos firmados no âmbito do SUS-SP, decorrentes dos recursos incorporados ao teto financeiro da assistência e
dá outras providências.</t>
    </r>
  </si>
  <si>
    <t>DOE 24/12/2022</t>
  </si>
  <si>
    <r>
      <t>Resolução SS nº 173, de 23 de dezembro de 2022 - (</t>
    </r>
    <r>
      <rPr>
        <b/>
        <u/>
        <sz val="20"/>
        <rFont val="Arial"/>
        <family val="2"/>
      </rPr>
      <t>DEDUÇÃO</t>
    </r>
    <r>
      <rPr>
        <sz val="20"/>
        <rFont val="Arial"/>
        <family val="2"/>
      </rPr>
      <t>) -  Dispõe sobre o Teto Financeiro de Alta Complexidade Hospitalar, dos prestadores de serviços sob gestão estadual, nos convênios e contratos firmados no âmbito do SUS-SP, decorrentes dos recursos incorporados ao teto financeiro da assistência e dá outras providências.</t>
    </r>
  </si>
  <si>
    <t>DOE 23/12/2022</t>
  </si>
  <si>
    <t>DOE 31/12/2022</t>
  </si>
  <si>
    <t>DOE 18/02/2023</t>
  </si>
  <si>
    <t>DOE 03/03/2023</t>
  </si>
  <si>
    <t>DOE 21/04/2023</t>
  </si>
  <si>
    <t>DOE 05/05/2023</t>
  </si>
  <si>
    <t>DOE 12/07/2023</t>
  </si>
  <si>
    <t>DOE 24/08/2023</t>
  </si>
  <si>
    <t>DOE 30/08/2023</t>
  </si>
  <si>
    <t>DOE 18/10/2023</t>
  </si>
  <si>
    <t>DOE 27/10/2023</t>
  </si>
  <si>
    <t>DOE 27/11/2023</t>
  </si>
  <si>
    <t>2023OBD0070</t>
  </si>
  <si>
    <t>2023OB32379</t>
  </si>
  <si>
    <t>2023OB33627</t>
  </si>
  <si>
    <t>2023OB33710</t>
  </si>
  <si>
    <t>12/2023</t>
  </si>
  <si>
    <t>2023OBC6915</t>
  </si>
  <si>
    <t>DOE 29/11/2023</t>
  </si>
  <si>
    <t>DOE 30/10/2023</t>
  </si>
  <si>
    <t>Resolução SS nº 187, de 18 de dezembro de 2023 - Dispõe sobre o complemento financeiro referente a novembro de 2023 e 13º salário, do repasse da assistência financeira complementar da União, destinada ao piso salarial nacional de enfermeiros, técnicos e auxiliares de enfermagem e parteiras, dos estabelecimentos da Rede Complementar do SUS-SP (Convênios com entidades sem fins lucrativos e Contratos com entidades privadas)</t>
  </si>
  <si>
    <t>DOE 20/12/2023</t>
  </si>
  <si>
    <t>2023OB32147</t>
  </si>
  <si>
    <t>2023OBC4703</t>
  </si>
  <si>
    <t>2023OBD0035</t>
  </si>
  <si>
    <t>2023OB32296</t>
  </si>
  <si>
    <t>DOE 06/12/2023</t>
  </si>
  <si>
    <r>
      <t xml:space="preserve">OBJETO: </t>
    </r>
    <r>
      <rPr>
        <sz val="20"/>
        <color indexed="8"/>
        <rFont val="Arial"/>
        <family val="2"/>
      </rPr>
      <t>ESTABELECER A SISTEMÁTICA DE PAGAMENTO, ACOMPANHAMENTO, AVALIAÇÃO E CONTROLE; INCLUSÃO DE INDICADORES DE QUALIDADE E VALOR DO REPASSE DE RECURSOS FINANCEIROS PROVENIENTES DO FUNDO NACIONAL DE SAÚDE/MINISTÉRIO DA SAÚDE E RECURSOS FINANCEIROS DE CUSTEIO PROVENIENTES DO FUNDO ESTADUAL DE SAÚDE, NO EXERCÍCIO DE 2023, PARA O HOSPITAL REGIONAL DO VALE DO PARAÍBA.</t>
    </r>
  </si>
  <si>
    <t>Termo de Aditamento nº 01/2023 - Recursos financeiros provenientes do Fundo Nacional de Saúde/Ministério da Saúde, especificados na Cláusula 7ª do Convênio a que se refere este Termo de Aditamento, no valor global estimado para o período de janeiro a dezembro de 2023 de R$ 60.093.876,24.</t>
  </si>
  <si>
    <t>Aditamento: T.A. nº 01/2023 - Recursos de Custeio para complementação da realização das atividades assistenciais conveniadas e despesas delas decorrentes, repassados pela CONVENENTE, no exercício de 2023, no valor de R$ 84.724.152,00.</t>
  </si>
  <si>
    <t>Aditamento: T.A. n° 06/2022 - Repasse de recursos financeiros de Investimentos, estabelecido pela Emenda Parlamentar (Deputado Sergio Victor - código: 2022.088.36894) para o HOSPITAL REGIONAL DO VALE DO PARAÍBA.</t>
  </si>
  <si>
    <t>Termo de Aditamento n° 07/2022 - Repasse de recursos financeiros de Investimento para execução de adequações estruturais para obtenção de Auto de Vistoria do Corpo de Bombeiros (AVCB) do HOSPITAL REGIONAL DO VALE DO PARAÍBA.</t>
  </si>
  <si>
    <t>DOU 24/04/2023</t>
  </si>
  <si>
    <t>DOE 20/10/2023</t>
  </si>
  <si>
    <t>Termo de Aditamento nº 02/2023 - O presente Termo de Aditamento tem por objeto o repasse de recursos financeiros de Termo Aditivo TA 02/2023 (HRVParaíba) (0012088425) SEI 024.00052247/2023-29 / pg. 2 custeio para a realização da estratégia de Redução de Filas de Cirurgias Cardíacas no Estado de São Paulo, constante na Resolução SS nº 81, de 06 de julho de 2023, nos meses de novembro a junho de 2024, no HOSPITAL REGIONAL DO VALE DO PARAÍBA.</t>
  </si>
  <si>
    <t>Termo de Aditamento nº 03/2023 - O presente TERMO DE ADITAMENTO tem por objeto o repasse de recursos de custeio para a realização do Programa Nacional de Redução das Filas de Cirurgias Eletivas no Estado de São Paulo, Portaria nº 90/GM/MS de 03 de fevereiro de 2023, novembro/2023 a maio/2024, no HOSPITAL REGIONAL DO VALE DO PARAÍBA.</t>
  </si>
  <si>
    <r>
      <t xml:space="preserve">ORIGEM DOS RECURSOS (4): </t>
    </r>
    <r>
      <rPr>
        <sz val="20"/>
        <color indexed="8"/>
        <rFont val="Arial"/>
        <family val="2"/>
      </rPr>
      <t>PRÓPRIO</t>
    </r>
  </si>
  <si>
    <t>Resolução SS Nº 174, de 15 de dezembro de 2023 - Dispõe sobre o pagamento de valores complementares da produção de cirurgias eletivas, dos 54 procedimentos cirúrgicos eletivos prioritários, de média e alta complexidade realizados nos estabelecimentos de saúde que integram o SUS-SP.</t>
  </si>
  <si>
    <t>DOE 25/05/2023</t>
  </si>
  <si>
    <t>Resolução SS nº 64, de 24 de maio de 2023 - Dispõe sobre o pagamento de valores complementares da produção de cirurgias eletivas, dos 54 procedimentos cirúrgicos eletivos prioritários, de média e alta complexidade realizados nos estabelecimentos de saúde que integram o SUS-SP.</t>
  </si>
  <si>
    <t xml:space="preserve"> Adm. Jorge Luiz Alves</t>
  </si>
  <si>
    <t xml:space="preserve">  Diretor Administrativo</t>
  </si>
  <si>
    <t xml:space="preserve">                                  Diretor Financeiro</t>
  </si>
  <si>
    <t xml:space="preserve">                    Adm. Nilton Cesar dos Santos</t>
  </si>
  <si>
    <t xml:space="preserve">                        Diretor Financeiro</t>
  </si>
  <si>
    <t xml:space="preserve">                              Adm. Nilton Cesar dos Santos</t>
  </si>
  <si>
    <r>
      <t xml:space="preserve">ORIGEM DOS RECURSOS (1): </t>
    </r>
    <r>
      <rPr>
        <sz val="20"/>
        <color indexed="8"/>
        <rFont val="Arial"/>
        <family val="2"/>
      </rPr>
      <t>FEDERAL (FUNDES) - PISO NACIONAL DA ENFERMAGEM</t>
    </r>
  </si>
  <si>
    <t xml:space="preserve">                                    Diretor Financeiro</t>
  </si>
  <si>
    <r>
      <t xml:space="preserve">ORIGEM DOS RECURSOS (1): </t>
    </r>
    <r>
      <rPr>
        <sz val="20"/>
        <color indexed="8"/>
        <rFont val="Arial"/>
        <family val="2"/>
      </rPr>
      <t>ESTADUAL</t>
    </r>
  </si>
  <si>
    <r>
      <t xml:space="preserve">ORIGEM DOS RECURSOS (1): </t>
    </r>
    <r>
      <rPr>
        <sz val="20"/>
        <color indexed="8"/>
        <rFont val="Arial"/>
        <family val="2"/>
      </rPr>
      <t xml:space="preserve">FEDERAL (FUNDES) </t>
    </r>
  </si>
  <si>
    <t xml:space="preserve">CPF: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</si>
</sst>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R$&quot;\ * #,##0.00_-;\-&quot;R$&quot;\ * #,##0.00_-;_-&quot;R$&quot;\ * &quot;-&quot;??_-;_-@_-"/>
    <numFmt numFmtId="43" formatCode="_-* #,##0.00_-;\-* #,##0.00_-;_-* &quot;-&quot;??_-;_-@_-"/>
    <numFmt numFmtId="164" formatCode="_(* #,##0.00_);_(* \(#,##0.00\);_(* &quot;-&quot;??_);_(@_)"/>
    <numFmt numFmtId="165" formatCode="#,##0.00\ ;\-#,##0.00\ ;&quot; -&quot;#\ ;@\ "/>
    <numFmt numFmtId="166" formatCode="d/m;@"/>
    <numFmt numFmtId="167" formatCode="mm/yyyy"/>
  </numFmts>
  <fonts count="29" x14ac:knownFonts="1">
    <font>
      <sz val="11"/>
      <color theme="1"/>
      <name val="Calibri"/>
      <family val="2"/>
      <scheme val="minor"/>
    </font>
    <font>
      <sz val="10"/>
      <color theme="1"/>
      <name val="Arial"/>
      <family val="2"/>
    </font>
    <font>
      <sz val="20"/>
      <name val="Arial"/>
      <family val="2"/>
    </font>
    <font>
      <sz val="20"/>
      <color theme="1"/>
      <name val="Arial"/>
      <family val="2"/>
    </font>
    <font>
      <sz val="10"/>
      <name val="Arial"/>
      <family val="2"/>
    </font>
    <font>
      <sz val="24"/>
      <name val="Arial"/>
      <family val="2"/>
    </font>
    <font>
      <sz val="11"/>
      <color theme="1"/>
      <name val="Calibri"/>
      <family val="2"/>
      <scheme val="minor"/>
    </font>
    <font>
      <b/>
      <sz val="24"/>
      <color indexed="8"/>
      <name val="Arial"/>
      <family val="2"/>
    </font>
    <font>
      <sz val="20"/>
      <color indexed="8"/>
      <name val="Arial"/>
      <family val="2"/>
    </font>
    <font>
      <sz val="18"/>
      <color indexed="8"/>
      <name val="Arial"/>
      <family val="2"/>
    </font>
    <font>
      <sz val="9"/>
      <color indexed="8"/>
      <name val="Arial"/>
      <family val="2"/>
    </font>
    <font>
      <b/>
      <sz val="22"/>
      <color indexed="8"/>
      <name val="Arial"/>
      <family val="2"/>
    </font>
    <font>
      <sz val="11"/>
      <color indexed="8"/>
      <name val="Arial"/>
      <family val="2"/>
    </font>
    <font>
      <b/>
      <sz val="20"/>
      <color indexed="8"/>
      <name val="Arial"/>
      <family val="2"/>
    </font>
    <font>
      <b/>
      <sz val="16"/>
      <color indexed="8"/>
      <name val="Arial"/>
      <family val="2"/>
    </font>
    <font>
      <b/>
      <sz val="18"/>
      <color indexed="8"/>
      <name val="Arial"/>
      <family val="2"/>
    </font>
    <font>
      <sz val="20"/>
      <color indexed="10"/>
      <name val="Arial"/>
      <family val="2"/>
    </font>
    <font>
      <sz val="22"/>
      <color indexed="8"/>
      <name val="Arial"/>
      <family val="2"/>
    </font>
    <font>
      <sz val="25"/>
      <color indexed="8"/>
      <name val="Arial"/>
      <family val="2"/>
    </font>
    <font>
      <sz val="23"/>
      <color indexed="8"/>
      <name val="Arial"/>
      <family val="2"/>
    </font>
    <font>
      <sz val="24"/>
      <color indexed="8"/>
      <name val="Arial"/>
      <family val="2"/>
    </font>
    <font>
      <b/>
      <sz val="24"/>
      <color rgb="FF000000"/>
      <name val="Arial"/>
      <family val="2"/>
    </font>
    <font>
      <b/>
      <sz val="22"/>
      <name val="Arial"/>
      <family val="2"/>
    </font>
    <font>
      <sz val="12"/>
      <color indexed="8"/>
      <name val="Arial"/>
      <family val="2"/>
    </font>
    <font>
      <sz val="28"/>
      <color indexed="8"/>
      <name val="Arial"/>
      <family val="2"/>
    </font>
    <font>
      <b/>
      <sz val="20"/>
      <name val="Arial"/>
      <family val="2"/>
    </font>
    <font>
      <sz val="14"/>
      <color indexed="8"/>
      <name val="Arial"/>
      <family val="2"/>
    </font>
    <font>
      <sz val="20"/>
      <color rgb="FF000000"/>
      <name val="Arial"/>
      <family val="2"/>
    </font>
    <font>
      <b/>
      <u/>
      <sz val="20"/>
      <name val="Arial"/>
      <family val="2"/>
    </font>
  </fonts>
  <fills count="4">
    <fill>
      <patternFill patternType="none"/>
    </fill>
    <fill>
      <patternFill patternType="gray125"/>
    </fill>
    <fill>
      <patternFill patternType="solid">
        <fgColor indexed="55"/>
        <bgColor indexed="44"/>
      </patternFill>
    </fill>
    <fill>
      <patternFill patternType="solid">
        <fgColor theme="0"/>
        <bgColor indexed="64"/>
      </patternFill>
    </fill>
  </fills>
  <borders count="1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8"/>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5">
    <xf numFmtId="0" fontId="0"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cellStyleXfs>
  <cellXfs count="249">
    <xf numFmtId="0" fontId="0" fillId="0" borderId="0" xfId="0"/>
    <xf numFmtId="164" fontId="2" fillId="0" borderId="0" xfId="2" applyNumberFormat="1" applyFont="1" applyAlignment="1">
      <alignment vertical="center"/>
    </xf>
    <xf numFmtId="164" fontId="2" fillId="0" borderId="0" xfId="2" applyNumberFormat="1" applyFont="1" applyFill="1" applyAlignment="1">
      <alignment vertical="center"/>
    </xf>
    <xf numFmtId="164" fontId="2" fillId="0" borderId="2" xfId="2" applyNumberFormat="1" applyFont="1" applyBorder="1" applyAlignment="1">
      <alignment vertical="center"/>
    </xf>
    <xf numFmtId="43" fontId="3" fillId="0" borderId="0" xfId="2" applyFont="1" applyAlignment="1">
      <alignment horizontal="left" vertical="center"/>
    </xf>
    <xf numFmtId="164" fontId="4" fillId="0" borderId="0" xfId="2" applyNumberFormat="1" applyFont="1"/>
    <xf numFmtId="164" fontId="5" fillId="0" borderId="0" xfId="2" applyNumberFormat="1" applyFont="1"/>
    <xf numFmtId="164" fontId="2" fillId="0" borderId="0" xfId="2" applyNumberFormat="1" applyFont="1" applyBorder="1" applyAlignment="1">
      <alignment vertical="center"/>
    </xf>
    <xf numFmtId="164" fontId="2" fillId="0" borderId="0" xfId="2" applyNumberFormat="1" applyFont="1" applyAlignment="1">
      <alignment horizontal="right" vertical="center"/>
    </xf>
    <xf numFmtId="164" fontId="2" fillId="0" borderId="0" xfId="2" applyNumberFormat="1" applyFont="1"/>
    <xf numFmtId="43" fontId="3" fillId="0" borderId="0" xfId="2" applyFont="1" applyAlignment="1">
      <alignment horizontal="center"/>
    </xf>
    <xf numFmtId="0" fontId="8" fillId="0" borderId="0" xfId="1" applyFont="1" applyAlignment="1">
      <alignment vertical="center"/>
    </xf>
    <xf numFmtId="43" fontId="9" fillId="0" borderId="0" xfId="2" applyFont="1" applyAlignment="1">
      <alignment vertical="center"/>
    </xf>
    <xf numFmtId="0" fontId="10" fillId="0" borderId="0" xfId="1" applyFont="1" applyAlignment="1">
      <alignment vertical="center"/>
    </xf>
    <xf numFmtId="0" fontId="12" fillId="0" borderId="0" xfId="1" applyFont="1" applyAlignment="1">
      <alignment vertical="center"/>
    </xf>
    <xf numFmtId="0" fontId="12" fillId="0" borderId="0" xfId="1" applyFont="1" applyAlignment="1">
      <alignment horizontal="right" vertical="center"/>
    </xf>
    <xf numFmtId="0" fontId="8" fillId="0" borderId="0" xfId="1" applyFont="1" applyAlignment="1">
      <alignment horizontal="right" vertical="center"/>
    </xf>
    <xf numFmtId="49" fontId="13" fillId="0" borderId="0" xfId="1" applyNumberFormat="1" applyFont="1" applyAlignment="1">
      <alignment horizontal="left" vertical="center"/>
    </xf>
    <xf numFmtId="49" fontId="13" fillId="0" borderId="0" xfId="1" applyNumberFormat="1" applyFont="1" applyAlignment="1">
      <alignment horizontal="right" vertical="center"/>
    </xf>
    <xf numFmtId="43" fontId="14" fillId="0" borderId="0" xfId="4" applyFont="1" applyAlignment="1">
      <alignment vertical="center"/>
    </xf>
    <xf numFmtId="49" fontId="15" fillId="0" borderId="0" xfId="1" applyNumberFormat="1" applyFont="1" applyAlignment="1">
      <alignment horizontal="left" vertical="center"/>
    </xf>
    <xf numFmtId="49" fontId="15" fillId="0" borderId="0" xfId="1" applyNumberFormat="1" applyFont="1" applyAlignment="1">
      <alignment horizontal="right" vertical="center"/>
    </xf>
    <xf numFmtId="49" fontId="13" fillId="0" borderId="3" xfId="1" applyNumberFormat="1" applyFont="1" applyBorder="1" applyAlignment="1">
      <alignment horizontal="center" vertical="center"/>
    </xf>
    <xf numFmtId="14" fontId="2" fillId="0" borderId="3" xfId="1" applyNumberFormat="1" applyFont="1" applyBorder="1" applyAlignment="1">
      <alignment horizontal="center" vertical="center"/>
    </xf>
    <xf numFmtId="0" fontId="2" fillId="0" borderId="0" xfId="1" applyFont="1" applyAlignment="1">
      <alignment vertical="center"/>
    </xf>
    <xf numFmtId="49" fontId="13" fillId="0" borderId="3" xfId="1" applyNumberFormat="1" applyFont="1" applyBorder="1" applyAlignment="1">
      <alignment horizontal="center" vertical="center" wrapText="1"/>
    </xf>
    <xf numFmtId="49" fontId="13" fillId="0" borderId="5" xfId="1" applyNumberFormat="1" applyFont="1" applyBorder="1" applyAlignment="1">
      <alignment horizontal="center" vertical="center"/>
    </xf>
    <xf numFmtId="49" fontId="13" fillId="0" borderId="5" xfId="1" applyNumberFormat="1" applyFont="1" applyBorder="1" applyAlignment="1">
      <alignment horizontal="center" vertical="center" wrapText="1"/>
    </xf>
    <xf numFmtId="43" fontId="8" fillId="0" borderId="0" xfId="1" applyNumberFormat="1" applyFont="1" applyAlignment="1">
      <alignment vertical="center"/>
    </xf>
    <xf numFmtId="43" fontId="8" fillId="0" borderId="0" xfId="2" applyFont="1" applyAlignment="1">
      <alignment vertical="center"/>
    </xf>
    <xf numFmtId="49" fontId="9" fillId="0" borderId="0" xfId="1" applyNumberFormat="1" applyFont="1" applyAlignment="1">
      <alignment horizontal="left" vertical="center"/>
    </xf>
    <xf numFmtId="49" fontId="9" fillId="0" borderId="0" xfId="1" applyNumberFormat="1" applyFont="1" applyAlignment="1">
      <alignment horizontal="right" vertical="center"/>
    </xf>
    <xf numFmtId="43" fontId="8" fillId="0" borderId="0" xfId="1" applyNumberFormat="1" applyFont="1" applyAlignment="1">
      <alignment horizontal="right" vertical="center"/>
    </xf>
    <xf numFmtId="0" fontId="9" fillId="0" borderId="0" xfId="1" applyFont="1" applyAlignment="1">
      <alignment horizontal="right" vertical="center"/>
    </xf>
    <xf numFmtId="0" fontId="9" fillId="0" borderId="0" xfId="1" applyFont="1" applyAlignment="1">
      <alignment vertical="center"/>
    </xf>
    <xf numFmtId="1" fontId="9" fillId="0" borderId="0" xfId="1" applyNumberFormat="1" applyFont="1" applyAlignment="1">
      <alignment horizontal="left" vertical="center" wrapText="1"/>
    </xf>
    <xf numFmtId="49" fontId="13" fillId="0" borderId="9" xfId="1" applyNumberFormat="1" applyFont="1" applyBorder="1" applyAlignment="1">
      <alignment horizontal="left" vertical="center"/>
    </xf>
    <xf numFmtId="49" fontId="13" fillId="0" borderId="4" xfId="1" applyNumberFormat="1" applyFont="1" applyBorder="1" applyAlignment="1">
      <alignment horizontal="right" vertical="center"/>
    </xf>
    <xf numFmtId="0" fontId="13" fillId="0" borderId="10" xfId="1" applyFont="1" applyBorder="1" applyAlignment="1">
      <alignment vertical="center"/>
    </xf>
    <xf numFmtId="0" fontId="13" fillId="0" borderId="0" xfId="1" applyFont="1" applyAlignment="1">
      <alignment horizontal="center" vertical="center"/>
    </xf>
    <xf numFmtId="49" fontId="13" fillId="0" borderId="10" xfId="1" applyNumberFormat="1" applyFont="1" applyBorder="1" applyAlignment="1">
      <alignment horizontal="center" vertical="center"/>
    </xf>
    <xf numFmtId="49" fontId="13" fillId="0" borderId="0" xfId="1" applyNumberFormat="1" applyFont="1" applyAlignment="1">
      <alignment horizontal="center" vertical="center"/>
    </xf>
    <xf numFmtId="0" fontId="16" fillId="0" borderId="0" xfId="1" applyFont="1" applyAlignment="1">
      <alignment horizontal="center" vertical="center"/>
    </xf>
    <xf numFmtId="0" fontId="13" fillId="0" borderId="11" xfId="1" applyFont="1" applyBorder="1" applyAlignment="1">
      <alignment vertical="center"/>
    </xf>
    <xf numFmtId="0" fontId="13" fillId="0" borderId="0" xfId="1" applyFont="1" applyAlignment="1">
      <alignment horizontal="right" vertical="center"/>
    </xf>
    <xf numFmtId="49" fontId="13" fillId="0" borderId="11" xfId="1" applyNumberFormat="1" applyFont="1" applyBorder="1" applyAlignment="1">
      <alignment horizontal="center" vertical="center"/>
    </xf>
    <xf numFmtId="0" fontId="13" fillId="0" borderId="11" xfId="1" applyFont="1" applyBorder="1" applyAlignment="1">
      <alignment horizontal="right" vertical="center"/>
    </xf>
    <xf numFmtId="0" fontId="13" fillId="0" borderId="11" xfId="1" applyFont="1" applyBorder="1" applyAlignment="1">
      <alignment horizontal="center" vertical="center"/>
    </xf>
    <xf numFmtId="49" fontId="8" fillId="0" borderId="3" xfId="1" applyNumberFormat="1" applyFont="1" applyBorder="1" applyAlignment="1">
      <alignment horizontal="left" vertical="center"/>
    </xf>
    <xf numFmtId="164" fontId="8" fillId="0" borderId="1" xfId="2" applyNumberFormat="1" applyFont="1" applyFill="1" applyBorder="1" applyAlignment="1" applyProtection="1">
      <alignment horizontal="right" vertical="center"/>
    </xf>
    <xf numFmtId="164" fontId="8" fillId="0" borderId="3" xfId="2" applyNumberFormat="1" applyFont="1" applyFill="1" applyBorder="1" applyAlignment="1" applyProtection="1">
      <alignment horizontal="right" vertical="center"/>
    </xf>
    <xf numFmtId="164" fontId="2" fillId="0" borderId="3" xfId="2" applyNumberFormat="1" applyFont="1" applyFill="1" applyBorder="1" applyAlignment="1" applyProtection="1">
      <alignment horizontal="right" vertical="center"/>
    </xf>
    <xf numFmtId="49" fontId="8" fillId="0" borderId="3" xfId="1" applyNumberFormat="1" applyFont="1" applyBorder="1" applyAlignment="1">
      <alignment horizontal="left" vertical="center" wrapText="1"/>
    </xf>
    <xf numFmtId="49" fontId="13" fillId="0" borderId="3" xfId="1" applyNumberFormat="1" applyFont="1" applyBorder="1" applyAlignment="1">
      <alignment vertical="center"/>
    </xf>
    <xf numFmtId="164" fontId="13" fillId="0" borderId="3" xfId="2" applyNumberFormat="1" applyFont="1" applyFill="1" applyBorder="1" applyAlignment="1" applyProtection="1">
      <alignment horizontal="right" vertical="center"/>
    </xf>
    <xf numFmtId="49" fontId="8" fillId="0" borderId="0" xfId="1" applyNumberFormat="1" applyFont="1" applyAlignment="1">
      <alignment horizontal="right" vertical="center"/>
    </xf>
    <xf numFmtId="43" fontId="17" fillId="0" borderId="0" xfId="2" applyFont="1" applyAlignment="1">
      <alignment vertical="center"/>
    </xf>
    <xf numFmtId="43" fontId="9" fillId="0" borderId="0" xfId="2" applyFont="1" applyAlignment="1">
      <alignment horizontal="right" vertical="center"/>
    </xf>
    <xf numFmtId="43" fontId="18" fillId="0" borderId="0" xfId="2" applyFont="1" applyAlignment="1">
      <alignment horizontal="right" vertical="center"/>
    </xf>
    <xf numFmtId="43" fontId="8" fillId="0" borderId="0" xfId="2" applyFont="1" applyAlignment="1">
      <alignment horizontal="right" vertical="center"/>
    </xf>
    <xf numFmtId="43" fontId="18" fillId="0" borderId="0" xfId="1" applyNumberFormat="1" applyFont="1" applyAlignment="1">
      <alignment vertical="center"/>
    </xf>
    <xf numFmtId="0" fontId="9" fillId="0" borderId="0" xfId="1" applyFont="1" applyAlignment="1">
      <alignment horizontal="left" vertical="center"/>
    </xf>
    <xf numFmtId="166" fontId="9" fillId="0" borderId="0" xfId="1" applyNumberFormat="1" applyFont="1" applyAlignment="1">
      <alignment horizontal="left" vertical="center"/>
    </xf>
    <xf numFmtId="0" fontId="8" fillId="0" borderId="0" xfId="1" applyFont="1" applyAlignment="1">
      <alignment horizontal="left" vertical="center"/>
    </xf>
    <xf numFmtId="43" fontId="9" fillId="0" borderId="0" xfId="1" applyNumberFormat="1" applyFont="1" applyAlignment="1">
      <alignment horizontal="left" vertical="center"/>
    </xf>
    <xf numFmtId="0" fontId="9" fillId="0" borderId="0" xfId="1" applyFont="1" applyAlignment="1">
      <alignment horizontal="left" vertical="center" wrapText="1"/>
    </xf>
    <xf numFmtId="49" fontId="19" fillId="0" borderId="0" xfId="1" applyNumberFormat="1" applyFont="1" applyAlignment="1">
      <alignment horizontal="left" vertical="center" wrapText="1"/>
    </xf>
    <xf numFmtId="49" fontId="19" fillId="0" borderId="0" xfId="1" applyNumberFormat="1" applyFont="1" applyAlignment="1">
      <alignment horizontal="right" vertical="center" wrapText="1"/>
    </xf>
    <xf numFmtId="49" fontId="8" fillId="0" borderId="0" xfId="1" applyNumberFormat="1" applyFont="1" applyAlignment="1">
      <alignment horizontal="right" vertical="center" wrapText="1"/>
    </xf>
    <xf numFmtId="49" fontId="19" fillId="0" borderId="0" xfId="1" applyNumberFormat="1" applyFont="1" applyAlignment="1">
      <alignment vertical="center"/>
    </xf>
    <xf numFmtId="0" fontId="19" fillId="0" borderId="0" xfId="1" applyFont="1" applyAlignment="1">
      <alignment horizontal="right" vertical="center"/>
    </xf>
    <xf numFmtId="164" fontId="8" fillId="0" borderId="0" xfId="2" applyNumberFormat="1" applyFont="1" applyAlignment="1">
      <alignment horizontal="right" vertical="center"/>
    </xf>
    <xf numFmtId="164" fontId="8" fillId="0" borderId="0" xfId="2" applyNumberFormat="1" applyFont="1" applyFill="1" applyBorder="1" applyAlignment="1">
      <alignment vertical="center"/>
    </xf>
    <xf numFmtId="0" fontId="12" fillId="0" borderId="0" xfId="1" applyFont="1" applyAlignment="1">
      <alignment horizontal="right"/>
    </xf>
    <xf numFmtId="0" fontId="7" fillId="0" borderId="0" xfId="1" applyFont="1"/>
    <xf numFmtId="0" fontId="7" fillId="0" borderId="0" xfId="1" applyFont="1" applyAlignment="1">
      <alignment horizontal="left" indent="1"/>
    </xf>
    <xf numFmtId="0" fontId="10" fillId="0" borderId="0" xfId="1" applyFont="1"/>
    <xf numFmtId="0" fontId="20" fillId="0" borderId="0" xfId="1" applyFont="1"/>
    <xf numFmtId="0" fontId="20" fillId="0" borderId="0" xfId="1" applyFont="1" applyAlignment="1">
      <alignment horizontal="right"/>
    </xf>
    <xf numFmtId="0" fontId="20" fillId="0" borderId="0" xfId="1" applyFont="1" applyAlignment="1">
      <alignment horizontal="left"/>
    </xf>
    <xf numFmtId="0" fontId="21" fillId="0" borderId="0" xfId="1" applyFont="1" applyAlignment="1">
      <alignment horizontal="left" vertical="center"/>
    </xf>
    <xf numFmtId="0" fontId="7" fillId="0" borderId="0" xfId="1" applyFont="1" applyAlignment="1">
      <alignment vertical="center"/>
    </xf>
    <xf numFmtId="0" fontId="13" fillId="0" borderId="0" xfId="1" applyFont="1" applyAlignment="1">
      <alignment vertical="center"/>
    </xf>
    <xf numFmtId="0" fontId="7" fillId="0" borderId="0" xfId="1" applyFont="1" applyAlignment="1">
      <alignment horizontal="right" vertical="center"/>
    </xf>
    <xf numFmtId="0" fontId="7" fillId="0" borderId="0" xfId="1" applyFont="1" applyAlignment="1">
      <alignment horizontal="center" vertical="center"/>
    </xf>
    <xf numFmtId="43" fontId="11" fillId="0" borderId="0" xfId="2" applyFont="1" applyAlignment="1">
      <alignment vertical="center"/>
    </xf>
    <xf numFmtId="49" fontId="7" fillId="0" borderId="0" xfId="1" applyNumberFormat="1" applyFont="1" applyAlignment="1">
      <alignment horizontal="center" vertical="center"/>
    </xf>
    <xf numFmtId="43" fontId="11" fillId="0" borderId="0" xfId="2" applyFont="1" applyFill="1" applyAlignment="1">
      <alignment vertical="center"/>
    </xf>
    <xf numFmtId="14" fontId="2" fillId="0" borderId="3" xfId="1" applyNumberFormat="1" applyFont="1" applyFill="1" applyBorder="1" applyAlignment="1">
      <alignment horizontal="center" vertical="center"/>
    </xf>
    <xf numFmtId="43" fontId="22" fillId="0" borderId="0" xfId="2" applyFont="1" applyFill="1" applyAlignment="1">
      <alignment vertical="center"/>
    </xf>
    <xf numFmtId="49" fontId="8" fillId="0" borderId="5" xfId="1" applyNumberFormat="1" applyFont="1" applyBorder="1" applyAlignment="1">
      <alignment horizontal="center" vertical="center"/>
    </xf>
    <xf numFmtId="164" fontId="8" fillId="0" borderId="5" xfId="2" applyNumberFormat="1" applyFont="1" applyFill="1" applyBorder="1" applyAlignment="1" applyProtection="1">
      <alignment horizontal="center" vertical="center"/>
    </xf>
    <xf numFmtId="14" fontId="3" fillId="0" borderId="5" xfId="1" applyNumberFormat="1" applyFont="1" applyFill="1" applyBorder="1" applyAlignment="1">
      <alignment horizontal="center" vertical="center"/>
    </xf>
    <xf numFmtId="3" fontId="2" fillId="0" borderId="5" xfId="1" applyNumberFormat="1" applyFont="1" applyFill="1" applyBorder="1" applyAlignment="1">
      <alignment horizontal="center" vertical="center"/>
    </xf>
    <xf numFmtId="43" fontId="13" fillId="0" borderId="0" xfId="2" applyFont="1" applyAlignment="1">
      <alignment vertical="center"/>
    </xf>
    <xf numFmtId="0" fontId="23" fillId="0" borderId="0" xfId="1" applyFont="1" applyAlignment="1">
      <alignment vertical="center"/>
    </xf>
    <xf numFmtId="43" fontId="11" fillId="0" borderId="0" xfId="2" applyFont="1" applyFill="1" applyBorder="1" applyAlignment="1" applyProtection="1">
      <alignment vertical="center"/>
    </xf>
    <xf numFmtId="49" fontId="9" fillId="0" borderId="0" xfId="1" applyNumberFormat="1" applyFont="1" applyAlignment="1">
      <alignment vertical="center"/>
    </xf>
    <xf numFmtId="43" fontId="8" fillId="0" borderId="0" xfId="2" applyFont="1"/>
    <xf numFmtId="43" fontId="24" fillId="0" borderId="0" xfId="2" applyFont="1"/>
    <xf numFmtId="43" fontId="20" fillId="0" borderId="0" xfId="2" applyFont="1"/>
    <xf numFmtId="14" fontId="2" fillId="0" borderId="5" xfId="1" applyNumberFormat="1" applyFont="1" applyFill="1" applyBorder="1" applyAlignment="1">
      <alignment horizontal="center" vertical="center"/>
    </xf>
    <xf numFmtId="0" fontId="23" fillId="0" borderId="0" xfId="1" applyFont="1"/>
    <xf numFmtId="0" fontId="8" fillId="0" borderId="0" xfId="1" applyFont="1"/>
    <xf numFmtId="43" fontId="11" fillId="0" borderId="0" xfId="2" applyFont="1"/>
    <xf numFmtId="0" fontId="8" fillId="0" borderId="0" xfId="1" applyFont="1" applyAlignment="1">
      <alignment horizontal="right"/>
    </xf>
    <xf numFmtId="14" fontId="8" fillId="0" borderId="3" xfId="1" applyNumberFormat="1" applyFont="1" applyBorder="1" applyAlignment="1">
      <alignment horizontal="center" vertical="center"/>
    </xf>
    <xf numFmtId="0" fontId="8" fillId="2" borderId="3" xfId="1" applyFont="1" applyFill="1" applyBorder="1" applyAlignment="1">
      <alignment vertical="center"/>
    </xf>
    <xf numFmtId="43" fontId="8" fillId="0" borderId="0" xfId="2" applyFont="1" applyFill="1" applyBorder="1" applyAlignment="1" applyProtection="1">
      <alignment vertical="center"/>
    </xf>
    <xf numFmtId="164" fontId="8" fillId="0" borderId="0" xfId="2" applyNumberFormat="1" applyFont="1" applyFill="1" applyBorder="1" applyAlignment="1" applyProtection="1">
      <alignment vertical="center"/>
    </xf>
    <xf numFmtId="164" fontId="8" fillId="0" borderId="3" xfId="2" applyNumberFormat="1" applyFont="1" applyFill="1" applyBorder="1" applyAlignment="1" applyProtection="1">
      <alignment vertical="center"/>
    </xf>
    <xf numFmtId="49" fontId="8" fillId="0" borderId="3" xfId="1" applyNumberFormat="1" applyFont="1" applyBorder="1" applyAlignment="1">
      <alignment horizontal="center" vertical="center"/>
    </xf>
    <xf numFmtId="0" fontId="2" fillId="0" borderId="3" xfId="1" applyFont="1" applyBorder="1" applyAlignment="1">
      <alignment horizontal="center"/>
    </xf>
    <xf numFmtId="49" fontId="9" fillId="0" borderId="0" xfId="1" applyNumberFormat="1" applyFont="1" applyAlignment="1">
      <alignment horizontal="left"/>
    </xf>
    <xf numFmtId="49" fontId="9" fillId="0" borderId="0" xfId="1" applyNumberFormat="1" applyFont="1" applyAlignment="1">
      <alignment horizontal="right"/>
    </xf>
    <xf numFmtId="0" fontId="9" fillId="0" borderId="0" xfId="1" applyFont="1" applyAlignment="1">
      <alignment horizontal="right"/>
    </xf>
    <xf numFmtId="0" fontId="9" fillId="0" borderId="0" xfId="1" applyFont="1"/>
    <xf numFmtId="1" fontId="9" fillId="0" borderId="0" xfId="1" applyNumberFormat="1" applyFont="1" applyAlignment="1">
      <alignment horizontal="left" vertical="top" wrapText="1"/>
    </xf>
    <xf numFmtId="0" fontId="13" fillId="0" borderId="5" xfId="1" applyFont="1" applyBorder="1"/>
    <xf numFmtId="0" fontId="13" fillId="0" borderId="0" xfId="1" applyFont="1" applyAlignment="1">
      <alignment horizontal="center"/>
    </xf>
    <xf numFmtId="49" fontId="13" fillId="0" borderId="5" xfId="1" applyNumberFormat="1" applyFont="1" applyBorder="1" applyAlignment="1">
      <alignment horizontal="center"/>
    </xf>
    <xf numFmtId="49" fontId="13" fillId="0" borderId="10" xfId="1" applyNumberFormat="1" applyFont="1" applyBorder="1" applyAlignment="1">
      <alignment horizontal="center"/>
    </xf>
    <xf numFmtId="49" fontId="13" fillId="0" borderId="0" xfId="1" applyNumberFormat="1" applyFont="1" applyAlignment="1">
      <alignment horizontal="center"/>
    </xf>
    <xf numFmtId="0" fontId="13" fillId="0" borderId="10" xfId="1" applyFont="1" applyBorder="1"/>
    <xf numFmtId="0" fontId="16" fillId="0" borderId="0" xfId="1" applyFont="1" applyAlignment="1">
      <alignment horizontal="center"/>
    </xf>
    <xf numFmtId="0" fontId="13" fillId="0" borderId="11" xfId="1" applyFont="1" applyBorder="1"/>
    <xf numFmtId="0" fontId="13" fillId="0" borderId="0" xfId="1" applyFont="1" applyAlignment="1">
      <alignment horizontal="right"/>
    </xf>
    <xf numFmtId="49" fontId="13" fillId="0" borderId="11" xfId="1" applyNumberFormat="1" applyFont="1" applyBorder="1" applyAlignment="1">
      <alignment horizontal="center"/>
    </xf>
    <xf numFmtId="0" fontId="13" fillId="0" borderId="11" xfId="1" applyFont="1" applyBorder="1" applyAlignment="1">
      <alignment horizontal="right"/>
    </xf>
    <xf numFmtId="0" fontId="13" fillId="0" borderId="11" xfId="1" applyFont="1" applyBorder="1" applyAlignment="1">
      <alignment horizontal="center"/>
    </xf>
    <xf numFmtId="49" fontId="8" fillId="0" borderId="3" xfId="1" applyNumberFormat="1" applyFont="1" applyBorder="1" applyAlignment="1">
      <alignment horizontal="left" vertical="top" wrapText="1"/>
    </xf>
    <xf numFmtId="164" fontId="13" fillId="0" borderId="1" xfId="2" applyNumberFormat="1" applyFont="1" applyFill="1" applyBorder="1" applyAlignment="1" applyProtection="1">
      <alignment horizontal="right" vertical="center"/>
    </xf>
    <xf numFmtId="164" fontId="25" fillId="0" borderId="3" xfId="2" applyNumberFormat="1" applyFont="1" applyFill="1" applyBorder="1" applyAlignment="1" applyProtection="1">
      <alignment horizontal="right" vertical="center"/>
    </xf>
    <xf numFmtId="43" fontId="17" fillId="0" borderId="0" xfId="1" applyNumberFormat="1" applyFont="1" applyAlignment="1">
      <alignment vertical="center"/>
    </xf>
    <xf numFmtId="43" fontId="8" fillId="0" borderId="0" xfId="2" applyFont="1" applyFill="1" applyAlignment="1">
      <alignment horizontal="right" vertical="center"/>
    </xf>
    <xf numFmtId="43" fontId="9" fillId="0" borderId="0" xfId="1" applyNumberFormat="1" applyFont="1" applyAlignment="1">
      <alignment horizontal="right" vertical="center"/>
    </xf>
    <xf numFmtId="43" fontId="9" fillId="0" borderId="0" xfId="2" applyFont="1" applyFill="1" applyAlignment="1">
      <alignment horizontal="right" vertical="center"/>
    </xf>
    <xf numFmtId="0" fontId="9" fillId="0" borderId="0" xfId="1" applyFont="1" applyAlignment="1">
      <alignment horizontal="left"/>
    </xf>
    <xf numFmtId="166" fontId="9" fillId="0" borderId="0" xfId="1" applyNumberFormat="1" applyFont="1" applyAlignment="1">
      <alignment horizontal="left"/>
    </xf>
    <xf numFmtId="43" fontId="9" fillId="0" borderId="0" xfId="1" applyNumberFormat="1" applyFont="1" applyAlignment="1">
      <alignment horizontal="left"/>
    </xf>
    <xf numFmtId="0" fontId="12" fillId="0" borderId="0" xfId="1" applyFont="1" applyAlignment="1">
      <alignment horizontal="left"/>
    </xf>
    <xf numFmtId="0" fontId="26" fillId="0" borderId="0" xfId="1" applyFont="1"/>
    <xf numFmtId="0" fontId="26" fillId="0" borderId="0" xfId="1" applyFont="1" applyAlignment="1">
      <alignment horizontal="right"/>
    </xf>
    <xf numFmtId="0" fontId="9" fillId="0" borderId="0" xfId="1" applyFont="1" applyAlignment="1">
      <alignment horizontal="left" vertical="top" wrapText="1"/>
    </xf>
    <xf numFmtId="0" fontId="19" fillId="0" borderId="0" xfId="1" applyFont="1"/>
    <xf numFmtId="0" fontId="19" fillId="0" borderId="0" xfId="1" applyFont="1" applyAlignment="1">
      <alignment horizontal="right"/>
    </xf>
    <xf numFmtId="164" fontId="19" fillId="0" borderId="0" xfId="2" applyNumberFormat="1" applyFont="1" applyAlignment="1">
      <alignment horizontal="right"/>
    </xf>
    <xf numFmtId="164" fontId="19" fillId="0" borderId="0" xfId="2" applyNumberFormat="1" applyFont="1" applyFill="1" applyAlignment="1">
      <alignment horizontal="right"/>
    </xf>
    <xf numFmtId="49" fontId="19" fillId="0" borderId="0" xfId="1" applyNumberFormat="1" applyFont="1"/>
    <xf numFmtId="0" fontId="12" fillId="0" borderId="0" xfId="1" applyFont="1"/>
    <xf numFmtId="0" fontId="7" fillId="0" borderId="0" xfId="1" applyFont="1" applyAlignment="1">
      <alignment horizontal="right"/>
    </xf>
    <xf numFmtId="0" fontId="7" fillId="0" borderId="0" xfId="1" applyFont="1" applyAlignment="1">
      <alignment horizontal="center"/>
    </xf>
    <xf numFmtId="164" fontId="8" fillId="0" borderId="5" xfId="2" applyNumberFormat="1" applyFont="1" applyFill="1" applyBorder="1" applyAlignment="1" applyProtection="1">
      <alignment horizontal="center" vertical="center"/>
    </xf>
    <xf numFmtId="49" fontId="8" fillId="0" borderId="5" xfId="1" applyNumberFormat="1" applyFont="1" applyBorder="1" applyAlignment="1">
      <alignment horizontal="center" vertical="center"/>
    </xf>
    <xf numFmtId="14" fontId="27" fillId="0" borderId="3" xfId="1" applyNumberFormat="1" applyFont="1" applyFill="1" applyBorder="1" applyAlignment="1">
      <alignment horizontal="center" vertical="center"/>
    </xf>
    <xf numFmtId="1" fontId="27" fillId="0" borderId="5" xfId="1" applyNumberFormat="1" applyFont="1" applyBorder="1" applyAlignment="1">
      <alignment horizontal="center" vertical="center"/>
    </xf>
    <xf numFmtId="49" fontId="7" fillId="0" borderId="0" xfId="1" applyNumberFormat="1" applyFont="1" applyAlignment="1">
      <alignment horizontal="center" vertical="center"/>
    </xf>
    <xf numFmtId="49" fontId="13" fillId="0" borderId="0" xfId="1" applyNumberFormat="1" applyFont="1" applyAlignment="1">
      <alignment horizontal="left" vertical="center"/>
    </xf>
    <xf numFmtId="49" fontId="13" fillId="0" borderId="3" xfId="1" applyNumberFormat="1" applyFont="1" applyBorder="1" applyAlignment="1">
      <alignment horizontal="center" vertical="center" wrapText="1"/>
    </xf>
    <xf numFmtId="49" fontId="8" fillId="0" borderId="3" xfId="1" applyNumberFormat="1" applyFont="1" applyBorder="1" applyAlignment="1">
      <alignment horizontal="left" vertical="center"/>
    </xf>
    <xf numFmtId="0" fontId="7" fillId="0" borderId="0" xfId="1" applyFont="1" applyAlignment="1">
      <alignment horizontal="center" vertical="center"/>
    </xf>
    <xf numFmtId="0" fontId="9" fillId="0" borderId="0" xfId="1" applyFont="1" applyAlignment="1">
      <alignment horizontal="left" vertical="center" wrapText="1"/>
    </xf>
    <xf numFmtId="49" fontId="9" fillId="0" borderId="0" xfId="1" applyNumberFormat="1" applyFont="1" applyAlignment="1">
      <alignment horizontal="left" vertical="center"/>
    </xf>
    <xf numFmtId="1" fontId="9" fillId="0" borderId="0" xfId="1" applyNumberFormat="1" applyFont="1" applyAlignment="1">
      <alignment horizontal="left" vertical="center" wrapText="1"/>
    </xf>
    <xf numFmtId="49" fontId="13" fillId="0" borderId="3" xfId="1" applyNumberFormat="1" applyFont="1" applyBorder="1" applyAlignment="1">
      <alignment horizontal="center" vertical="center"/>
    </xf>
    <xf numFmtId="43" fontId="8" fillId="0" borderId="0" xfId="4" applyFont="1"/>
    <xf numFmtId="43" fontId="8" fillId="0" borderId="0" xfId="1" applyNumberFormat="1" applyFont="1"/>
    <xf numFmtId="164" fontId="2" fillId="0" borderId="3" xfId="2" applyNumberFormat="1" applyFont="1" applyFill="1" applyBorder="1" applyAlignment="1">
      <alignment horizontal="right" vertical="center"/>
    </xf>
    <xf numFmtId="164" fontId="8" fillId="0" borderId="5" xfId="2" applyNumberFormat="1" applyFont="1" applyFill="1" applyBorder="1" applyAlignment="1" applyProtection="1">
      <alignment horizontal="center" vertical="center"/>
    </xf>
    <xf numFmtId="43" fontId="13" fillId="0" borderId="0" xfId="4" applyFont="1" applyAlignment="1">
      <alignment vertical="center"/>
    </xf>
    <xf numFmtId="43" fontId="13" fillId="0" borderId="0" xfId="4" applyFont="1"/>
    <xf numFmtId="43" fontId="13" fillId="0" borderId="0" xfId="4" applyFont="1" applyFill="1" applyAlignment="1">
      <alignment vertical="center"/>
    </xf>
    <xf numFmtId="43" fontId="25" fillId="0" borderId="0" xfId="4" applyFont="1" applyFill="1" applyAlignment="1">
      <alignment vertical="center"/>
    </xf>
    <xf numFmtId="43" fontId="25" fillId="0" borderId="0" xfId="4" applyFont="1" applyAlignment="1">
      <alignment vertical="center"/>
    </xf>
    <xf numFmtId="43" fontId="13" fillId="0" borderId="0" xfId="4" applyFont="1" applyFill="1" applyBorder="1" applyAlignment="1" applyProtection="1">
      <alignment vertical="center"/>
    </xf>
    <xf numFmtId="43" fontId="10" fillId="0" borderId="0" xfId="1" applyNumberFormat="1" applyFont="1" applyAlignment="1">
      <alignment vertical="center"/>
    </xf>
    <xf numFmtId="49" fontId="8" fillId="0" borderId="1" xfId="1" applyNumberFormat="1" applyFont="1" applyBorder="1" applyAlignment="1">
      <alignment horizontal="left" vertical="center"/>
    </xf>
    <xf numFmtId="49" fontId="8" fillId="0" borderId="4" xfId="1" applyNumberFormat="1" applyFont="1" applyBorder="1" applyAlignment="1">
      <alignment horizontal="left" vertical="center"/>
    </xf>
    <xf numFmtId="49" fontId="8" fillId="0" borderId="2" xfId="1" applyNumberFormat="1" applyFont="1" applyBorder="1" applyAlignment="1">
      <alignment horizontal="left" vertical="center"/>
    </xf>
    <xf numFmtId="164" fontId="13" fillId="0" borderId="1" xfId="2" applyNumberFormat="1" applyFont="1" applyFill="1" applyBorder="1" applyAlignment="1" applyProtection="1">
      <alignment horizontal="right" vertical="center"/>
    </xf>
    <xf numFmtId="164" fontId="13" fillId="0" borderId="2" xfId="2" applyNumberFormat="1" applyFont="1" applyFill="1" applyBorder="1" applyAlignment="1" applyProtection="1">
      <alignment horizontal="right" vertical="center"/>
    </xf>
    <xf numFmtId="165" fontId="8" fillId="0" borderId="1" xfId="1" applyNumberFormat="1" applyFont="1" applyBorder="1" applyAlignment="1">
      <alignment horizontal="right" vertical="center"/>
    </xf>
    <xf numFmtId="165" fontId="8" fillId="0" borderId="2" xfId="1" applyNumberFormat="1" applyFont="1" applyBorder="1" applyAlignment="1">
      <alignment horizontal="right" vertical="center"/>
    </xf>
    <xf numFmtId="165" fontId="13" fillId="0" borderId="1" xfId="1" applyNumberFormat="1" applyFont="1" applyBorder="1" applyAlignment="1">
      <alignment horizontal="right" vertical="center"/>
    </xf>
    <xf numFmtId="165" fontId="13" fillId="0" borderId="2" xfId="1" applyNumberFormat="1" applyFont="1" applyBorder="1" applyAlignment="1">
      <alignment horizontal="right" vertical="center"/>
    </xf>
    <xf numFmtId="164" fontId="8" fillId="0" borderId="3" xfId="2" applyNumberFormat="1" applyFont="1" applyFill="1" applyBorder="1" applyAlignment="1" applyProtection="1">
      <alignment horizontal="center" vertical="center"/>
    </xf>
    <xf numFmtId="49" fontId="8" fillId="0" borderId="3" xfId="1" applyNumberFormat="1" applyFont="1" applyBorder="1" applyAlignment="1">
      <alignment horizontal="left" vertical="center"/>
    </xf>
    <xf numFmtId="49" fontId="7" fillId="0" borderId="0" xfId="1" applyNumberFormat="1" applyFont="1" applyAlignment="1">
      <alignment horizontal="center" vertical="center"/>
    </xf>
    <xf numFmtId="49" fontId="13" fillId="0" borderId="1" xfId="1" applyNumberFormat="1" applyFont="1" applyBorder="1" applyAlignment="1">
      <alignment horizontal="center" vertical="center"/>
    </xf>
    <xf numFmtId="49" fontId="13" fillId="0" borderId="4" xfId="1" applyNumberFormat="1" applyFont="1" applyBorder="1" applyAlignment="1">
      <alignment horizontal="center" vertical="center"/>
    </xf>
    <xf numFmtId="49" fontId="13" fillId="0" borderId="2" xfId="1" applyNumberFormat="1" applyFont="1" applyBorder="1" applyAlignment="1">
      <alignment horizontal="center" vertical="center"/>
    </xf>
    <xf numFmtId="43" fontId="13" fillId="0" borderId="3" xfId="2" applyFont="1" applyBorder="1" applyAlignment="1">
      <alignment horizontal="right" vertical="center"/>
    </xf>
    <xf numFmtId="49" fontId="9" fillId="0" borderId="0" xfId="1" applyNumberFormat="1" applyFont="1" applyAlignment="1">
      <alignment horizontal="left" vertical="center"/>
    </xf>
    <xf numFmtId="1" fontId="9" fillId="0" borderId="0" xfId="1" applyNumberFormat="1" applyFont="1" applyAlignment="1">
      <alignment horizontal="left" vertical="center" wrapText="1"/>
    </xf>
    <xf numFmtId="49" fontId="13" fillId="0" borderId="6" xfId="1" applyNumberFormat="1" applyFont="1" applyBorder="1" applyAlignment="1">
      <alignment horizontal="center" vertical="center"/>
    </xf>
    <xf numFmtId="49" fontId="13" fillId="0" borderId="7" xfId="1" applyNumberFormat="1" applyFont="1" applyBorder="1" applyAlignment="1">
      <alignment horizontal="center" vertical="center"/>
    </xf>
    <xf numFmtId="49" fontId="13" fillId="0" borderId="8" xfId="1" applyNumberFormat="1" applyFont="1" applyBorder="1" applyAlignment="1">
      <alignment horizontal="center" vertical="center"/>
    </xf>
    <xf numFmtId="164" fontId="13" fillId="0" borderId="3" xfId="2" applyNumberFormat="1" applyFont="1" applyFill="1" applyBorder="1" applyAlignment="1" applyProtection="1">
      <alignment horizontal="center" vertical="center"/>
    </xf>
    <xf numFmtId="0" fontId="8" fillId="2" borderId="3" xfId="1" applyFont="1" applyFill="1" applyBorder="1" applyAlignment="1">
      <alignment horizontal="center" vertical="center"/>
    </xf>
    <xf numFmtId="0" fontId="7" fillId="0" borderId="0" xfId="1" applyFont="1" applyAlignment="1">
      <alignment horizontal="center" vertical="center"/>
    </xf>
    <xf numFmtId="0" fontId="9" fillId="0" borderId="0" xfId="1" applyFont="1" applyAlignment="1">
      <alignment horizontal="left" vertical="center" wrapText="1"/>
    </xf>
    <xf numFmtId="0" fontId="21" fillId="0" borderId="0" xfId="1" applyFont="1" applyAlignment="1">
      <alignment vertical="center"/>
    </xf>
    <xf numFmtId="164" fontId="8" fillId="0" borderId="0" xfId="2" applyNumberFormat="1" applyFont="1" applyFill="1" applyBorder="1" applyAlignment="1" applyProtection="1">
      <alignment horizontal="center" vertical="center"/>
    </xf>
    <xf numFmtId="164" fontId="8" fillId="0" borderId="13" xfId="2" applyNumberFormat="1" applyFont="1" applyFill="1" applyBorder="1" applyAlignment="1" applyProtection="1">
      <alignment horizontal="center" vertical="center"/>
    </xf>
    <xf numFmtId="167" fontId="8" fillId="0" borderId="10" xfId="1" applyNumberFormat="1" applyFont="1" applyBorder="1" applyAlignment="1">
      <alignment horizontal="center" vertical="center"/>
    </xf>
    <xf numFmtId="164" fontId="8" fillId="0" borderId="12" xfId="2" applyNumberFormat="1" applyFont="1" applyFill="1" applyBorder="1" applyAlignment="1" applyProtection="1">
      <alignment vertical="center"/>
    </xf>
    <xf numFmtId="167" fontId="8" fillId="0" borderId="5" xfId="1" applyNumberFormat="1" applyFont="1" applyBorder="1" applyAlignment="1">
      <alignment horizontal="center" vertical="center"/>
    </xf>
    <xf numFmtId="164" fontId="8" fillId="0" borderId="5" xfId="2" applyNumberFormat="1" applyFont="1" applyFill="1" applyBorder="1" applyAlignment="1" applyProtection="1">
      <alignment vertical="center"/>
    </xf>
    <xf numFmtId="164" fontId="8" fillId="0" borderId="10" xfId="2" applyNumberFormat="1" applyFont="1" applyFill="1" applyBorder="1" applyAlignment="1" applyProtection="1">
      <alignment vertical="center"/>
    </xf>
    <xf numFmtId="164" fontId="8" fillId="0" borderId="6" xfId="2" applyNumberFormat="1" applyFont="1" applyFill="1" applyBorder="1" applyAlignment="1" applyProtection="1">
      <alignment horizontal="center" vertical="center"/>
    </xf>
    <xf numFmtId="164" fontId="8" fillId="0" borderId="8" xfId="2" applyNumberFormat="1" applyFont="1" applyFill="1" applyBorder="1" applyAlignment="1" applyProtection="1">
      <alignment horizontal="center" vertical="center"/>
    </xf>
    <xf numFmtId="164" fontId="8" fillId="0" borderId="12" xfId="2" applyNumberFormat="1" applyFont="1" applyFill="1" applyBorder="1" applyAlignment="1" applyProtection="1">
      <alignment horizontal="center" vertical="center"/>
    </xf>
    <xf numFmtId="44" fontId="2" fillId="0" borderId="4" xfId="2" applyNumberFormat="1" applyFont="1" applyFill="1" applyBorder="1" applyAlignment="1" applyProtection="1">
      <alignment horizontal="center" vertical="center"/>
    </xf>
    <xf numFmtId="44" fontId="2" fillId="0" borderId="2" xfId="2" applyNumberFormat="1" applyFont="1" applyFill="1" applyBorder="1" applyAlignment="1" applyProtection="1">
      <alignment horizontal="center" vertical="center"/>
    </xf>
    <xf numFmtId="49" fontId="2" fillId="0" borderId="1" xfId="1" applyNumberFormat="1" applyFont="1" applyFill="1" applyBorder="1" applyAlignment="1">
      <alignment horizontal="left" vertical="center" wrapText="1"/>
    </xf>
    <xf numFmtId="49" fontId="2" fillId="0" borderId="2" xfId="1" applyNumberFormat="1" applyFont="1" applyFill="1" applyBorder="1" applyAlignment="1">
      <alignment horizontal="left" vertical="center" wrapText="1"/>
    </xf>
    <xf numFmtId="44" fontId="2" fillId="0" borderId="1" xfId="2" applyNumberFormat="1" applyFont="1" applyFill="1" applyBorder="1" applyAlignment="1" applyProtection="1">
      <alignment horizontal="center" vertical="center"/>
    </xf>
    <xf numFmtId="49" fontId="11" fillId="0" borderId="0" xfId="1" applyNumberFormat="1" applyFont="1" applyAlignment="1">
      <alignment horizontal="center" vertical="center"/>
    </xf>
    <xf numFmtId="49" fontId="2" fillId="0" borderId="4" xfId="1" applyNumberFormat="1" applyFont="1" applyFill="1" applyBorder="1" applyAlignment="1">
      <alignment horizontal="left" vertical="center" wrapText="1"/>
    </xf>
    <xf numFmtId="49" fontId="13" fillId="0" borderId="0" xfId="1" applyNumberFormat="1" applyFont="1" applyAlignment="1">
      <alignment horizontal="left" vertical="top" wrapText="1"/>
    </xf>
    <xf numFmtId="49" fontId="2" fillId="0" borderId="1" xfId="1" applyNumberFormat="1" applyFont="1" applyBorder="1" applyAlignment="1">
      <alignment horizontal="left" vertical="center" wrapText="1"/>
    </xf>
    <xf numFmtId="49" fontId="2" fillId="0" borderId="2" xfId="1" applyNumberFormat="1" applyFont="1" applyBorder="1" applyAlignment="1">
      <alignment horizontal="left" vertical="center" wrapText="1"/>
    </xf>
    <xf numFmtId="164" fontId="2" fillId="0" borderId="1" xfId="2" applyNumberFormat="1" applyFont="1" applyFill="1" applyBorder="1" applyAlignment="1" applyProtection="1">
      <alignment horizontal="center" vertical="center"/>
    </xf>
    <xf numFmtId="164" fontId="2" fillId="0" borderId="2" xfId="2" applyNumberFormat="1" applyFont="1" applyFill="1" applyBorder="1" applyAlignment="1" applyProtection="1">
      <alignment horizontal="center" vertical="center"/>
    </xf>
    <xf numFmtId="164" fontId="8" fillId="0" borderId="1" xfId="2" applyNumberFormat="1" applyFont="1" applyFill="1" applyBorder="1" applyAlignment="1" applyProtection="1">
      <alignment horizontal="center" vertical="center"/>
    </xf>
    <xf numFmtId="164" fontId="8" fillId="0" borderId="2" xfId="2" applyNumberFormat="1" applyFont="1" applyFill="1" applyBorder="1" applyAlignment="1" applyProtection="1">
      <alignment horizontal="center" vertical="center"/>
    </xf>
    <xf numFmtId="167" fontId="8" fillId="0" borderId="11" xfId="1" applyNumberFormat="1" applyFont="1" applyBorder="1" applyAlignment="1">
      <alignment horizontal="center" vertical="center"/>
    </xf>
    <xf numFmtId="49" fontId="13" fillId="0" borderId="3" xfId="1" applyNumberFormat="1" applyFont="1" applyBorder="1" applyAlignment="1">
      <alignment horizontal="center" vertical="center" wrapText="1"/>
    </xf>
    <xf numFmtId="49" fontId="8" fillId="0" borderId="5" xfId="1" applyNumberFormat="1" applyFont="1" applyBorder="1" applyAlignment="1">
      <alignment horizontal="center" vertical="center"/>
    </xf>
    <xf numFmtId="49" fontId="8" fillId="0" borderId="10" xfId="1" applyNumberFormat="1" applyFont="1" applyBorder="1" applyAlignment="1">
      <alignment horizontal="center" vertical="center"/>
    </xf>
    <xf numFmtId="49" fontId="8" fillId="0" borderId="11" xfId="1" applyNumberFormat="1" applyFont="1" applyBorder="1" applyAlignment="1">
      <alignment horizontal="center" vertical="center"/>
    </xf>
    <xf numFmtId="164" fontId="8" fillId="0" borderId="5" xfId="2" applyNumberFormat="1" applyFont="1" applyFill="1" applyBorder="1" applyAlignment="1" applyProtection="1">
      <alignment horizontal="center" vertical="center"/>
    </xf>
    <xf numFmtId="164" fontId="8" fillId="0" borderId="11" xfId="2" applyNumberFormat="1" applyFont="1" applyFill="1" applyBorder="1" applyAlignment="1" applyProtection="1">
      <alignment horizontal="center" vertical="center"/>
    </xf>
    <xf numFmtId="0" fontId="7" fillId="0" borderId="0" xfId="1" applyFont="1" applyAlignment="1">
      <alignment horizontal="center"/>
    </xf>
    <xf numFmtId="49" fontId="8" fillId="0" borderId="14" xfId="1" applyNumberFormat="1" applyFont="1" applyBorder="1" applyAlignment="1">
      <alignment horizontal="left" vertical="center"/>
    </xf>
    <xf numFmtId="49" fontId="8" fillId="0" borderId="16" xfId="1" applyNumberFormat="1" applyFont="1" applyBorder="1" applyAlignment="1">
      <alignment horizontal="left" vertical="center"/>
    </xf>
    <xf numFmtId="49" fontId="8" fillId="0" borderId="15" xfId="1" applyNumberFormat="1" applyFont="1" applyBorder="1" applyAlignment="1">
      <alignment horizontal="left" vertical="center"/>
    </xf>
    <xf numFmtId="0" fontId="9" fillId="0" borderId="0" xfId="1" applyFont="1" applyAlignment="1">
      <alignment horizontal="left" vertical="top" wrapText="1"/>
    </xf>
    <xf numFmtId="0" fontId="8" fillId="2" borderId="1"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2" xfId="1" applyFont="1" applyFill="1" applyBorder="1" applyAlignment="1">
      <alignment horizontal="center" vertical="center"/>
    </xf>
    <xf numFmtId="165" fontId="13" fillId="0" borderId="3" xfId="1" applyNumberFormat="1" applyFont="1" applyBorder="1" applyAlignment="1">
      <alignment horizontal="right" vertical="center"/>
    </xf>
    <xf numFmtId="49" fontId="13" fillId="0" borderId="1" xfId="1" applyNumberFormat="1" applyFont="1" applyBorder="1" applyAlignment="1">
      <alignment horizontal="left" vertical="center"/>
    </xf>
    <xf numFmtId="49" fontId="13" fillId="0" borderId="4" xfId="1" applyNumberFormat="1" applyFont="1" applyBorder="1" applyAlignment="1">
      <alignment horizontal="left" vertical="center"/>
    </xf>
    <xf numFmtId="49" fontId="13" fillId="0" borderId="2" xfId="1" applyNumberFormat="1" applyFont="1" applyBorder="1" applyAlignment="1">
      <alignment horizontal="left" vertical="center"/>
    </xf>
    <xf numFmtId="49" fontId="8" fillId="0" borderId="3" xfId="1" applyNumberFormat="1" applyFont="1" applyBorder="1" applyAlignment="1">
      <alignment horizontal="center" vertical="center"/>
    </xf>
    <xf numFmtId="49" fontId="13" fillId="0" borderId="3" xfId="1" applyNumberFormat="1" applyFont="1" applyBorder="1" applyAlignment="1">
      <alignment horizontal="center" vertical="center"/>
    </xf>
    <xf numFmtId="164" fontId="8" fillId="3" borderId="3" xfId="2" applyNumberFormat="1" applyFont="1" applyFill="1" applyBorder="1" applyAlignment="1" applyProtection="1">
      <alignment horizontal="center" vertical="center"/>
    </xf>
    <xf numFmtId="49" fontId="11" fillId="0" borderId="0" xfId="1" applyNumberFormat="1" applyFont="1" applyAlignment="1">
      <alignment horizontal="center" vertical="justify"/>
    </xf>
  </cellXfs>
  <cellStyles count="5">
    <cellStyle name="Normal" xfId="0" builtinId="0"/>
    <cellStyle name="Normal 2" xfId="1"/>
    <cellStyle name="Vírgula" xfId="4" builtinId="3"/>
    <cellStyle name="Vírgula 3" xfId="2"/>
    <cellStyle name="Vírgula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IS240"/>
  <sheetViews>
    <sheetView tabSelected="1" topLeftCell="A7" zoomScale="55" zoomScaleNormal="55" zoomScaleSheetLayoutView="55" workbookViewId="0">
      <selection activeCell="B3" sqref="B3"/>
    </sheetView>
  </sheetViews>
  <sheetFormatPr defaultColWidth="0" defaultRowHeight="25.5" x14ac:dyDescent="0.25"/>
  <cols>
    <col min="1" max="1" width="43" style="14" customWidth="1"/>
    <col min="2" max="4" width="43" style="15" customWidth="1"/>
    <col min="5" max="5" width="43" style="16" customWidth="1"/>
    <col min="6" max="6" width="43" style="1" customWidth="1"/>
    <col min="7" max="14" width="0" style="13" hidden="1" customWidth="1"/>
    <col min="15" max="253" width="0" style="13" hidden="1"/>
    <col min="254" max="16384" width="9.140625" style="13" hidden="1"/>
  </cols>
  <sheetData>
    <row r="7" spans="1:6" ht="30" customHeight="1" x14ac:dyDescent="0.25">
      <c r="A7" s="187"/>
      <c r="B7" s="187"/>
      <c r="C7" s="187"/>
      <c r="D7" s="187"/>
      <c r="E7" s="187"/>
      <c r="F7" s="11"/>
    </row>
    <row r="8" spans="1:6" ht="30" customHeight="1" x14ac:dyDescent="0.25">
      <c r="A8" s="187"/>
      <c r="B8" s="187"/>
      <c r="C8" s="187"/>
      <c r="D8" s="187"/>
      <c r="E8" s="187"/>
      <c r="F8" s="11"/>
    </row>
    <row r="9" spans="1:6" ht="30" customHeight="1" x14ac:dyDescent="0.25">
      <c r="A9" s="217" t="s">
        <v>92</v>
      </c>
      <c r="B9" s="217"/>
      <c r="C9" s="217"/>
      <c r="D9" s="217"/>
      <c r="E9" s="217"/>
      <c r="F9" s="217"/>
    </row>
    <row r="10" spans="1:6" ht="30" customHeight="1" x14ac:dyDescent="0.25">
      <c r="A10" s="217" t="s">
        <v>1</v>
      </c>
      <c r="B10" s="217"/>
      <c r="C10" s="217"/>
      <c r="D10" s="217"/>
      <c r="E10" s="217"/>
      <c r="F10" s="217"/>
    </row>
    <row r="11" spans="1:6" ht="30" customHeight="1" x14ac:dyDescent="0.25"/>
    <row r="12" spans="1:6" s="11" customFormat="1" ht="30" customHeight="1" x14ac:dyDescent="0.25">
      <c r="A12" s="17" t="s">
        <v>86</v>
      </c>
      <c r="B12" s="18"/>
      <c r="C12" s="18"/>
      <c r="D12" s="18"/>
      <c r="E12" s="18"/>
    </row>
    <row r="13" spans="1:6" s="11" customFormat="1" ht="30" customHeight="1" x14ac:dyDescent="0.25">
      <c r="A13" s="17" t="s">
        <v>87</v>
      </c>
      <c r="B13" s="18"/>
      <c r="C13" s="18"/>
      <c r="D13" s="18"/>
      <c r="E13" s="18"/>
    </row>
    <row r="14" spans="1:6" s="11" customFormat="1" ht="30" customHeight="1" x14ac:dyDescent="0.25">
      <c r="A14" s="17" t="s">
        <v>88</v>
      </c>
      <c r="B14" s="18"/>
      <c r="C14" s="18"/>
      <c r="D14" s="18"/>
      <c r="E14" s="18"/>
    </row>
    <row r="15" spans="1:6" s="11" customFormat="1" ht="30" customHeight="1" x14ac:dyDescent="0.25">
      <c r="A15" s="17" t="s">
        <v>89</v>
      </c>
      <c r="B15" s="18"/>
      <c r="C15" s="18"/>
      <c r="D15" s="18"/>
      <c r="E15" s="18"/>
    </row>
    <row r="16" spans="1:6" s="11" customFormat="1" ht="30" customHeight="1" x14ac:dyDescent="0.25">
      <c r="A16" s="17" t="s">
        <v>90</v>
      </c>
      <c r="B16" s="18"/>
      <c r="C16" s="18"/>
      <c r="D16" s="18"/>
      <c r="E16" s="18"/>
    </row>
    <row r="17" spans="1:6" s="11" customFormat="1" ht="30" customHeight="1" x14ac:dyDescent="0.25">
      <c r="A17" s="17" t="s">
        <v>242</v>
      </c>
      <c r="B17" s="18"/>
      <c r="C17" s="18"/>
      <c r="D17" s="18"/>
      <c r="E17" s="18"/>
    </row>
    <row r="18" spans="1:6" s="11" customFormat="1" ht="32.25" customHeight="1" x14ac:dyDescent="0.25">
      <c r="A18" s="219" t="s">
        <v>219</v>
      </c>
      <c r="B18" s="219"/>
      <c r="C18" s="219"/>
      <c r="D18" s="219"/>
      <c r="E18" s="219"/>
      <c r="F18" s="219"/>
    </row>
    <row r="19" spans="1:6" s="11" customFormat="1" ht="32.25" customHeight="1" x14ac:dyDescent="0.25">
      <c r="A19" s="219"/>
      <c r="B19" s="219"/>
      <c r="C19" s="219"/>
      <c r="D19" s="219"/>
      <c r="E19" s="219"/>
      <c r="F19" s="219"/>
    </row>
    <row r="20" spans="1:6" s="11" customFormat="1" ht="37.5" customHeight="1" x14ac:dyDescent="0.25">
      <c r="A20" s="219"/>
      <c r="B20" s="219"/>
      <c r="C20" s="219"/>
      <c r="D20" s="219"/>
      <c r="E20" s="219"/>
      <c r="F20" s="219"/>
    </row>
    <row r="21" spans="1:6" s="11" customFormat="1" ht="30" customHeight="1" x14ac:dyDescent="0.25">
      <c r="A21" s="17" t="s">
        <v>96</v>
      </c>
      <c r="B21" s="18"/>
      <c r="C21" s="18"/>
      <c r="D21" s="18"/>
      <c r="E21" s="18"/>
      <c r="F21" s="1"/>
    </row>
    <row r="22" spans="1:6" s="11" customFormat="1" ht="30" customHeight="1" x14ac:dyDescent="0.25">
      <c r="A22" s="17" t="s">
        <v>241</v>
      </c>
      <c r="B22" s="18"/>
      <c r="C22" s="18"/>
      <c r="D22" s="18"/>
      <c r="E22" s="18"/>
      <c r="F22" s="1"/>
    </row>
    <row r="23" spans="1:6" ht="30" customHeight="1" thickBot="1" x14ac:dyDescent="0.3">
      <c r="A23" s="20"/>
      <c r="B23" s="21"/>
      <c r="C23" s="21"/>
      <c r="D23" s="21"/>
      <c r="E23" s="18"/>
    </row>
    <row r="24" spans="1:6" s="11" customFormat="1" ht="37.5" customHeight="1" thickBot="1" x14ac:dyDescent="0.3">
      <c r="A24" s="188" t="s">
        <v>2</v>
      </c>
      <c r="B24" s="190"/>
      <c r="C24" s="22" t="s">
        <v>3</v>
      </c>
      <c r="D24" s="22" t="s">
        <v>4</v>
      </c>
      <c r="E24" s="188" t="s">
        <v>5</v>
      </c>
      <c r="F24" s="190"/>
    </row>
    <row r="25" spans="1:6" s="24" customFormat="1" ht="193.5" customHeight="1" thickBot="1" x14ac:dyDescent="0.3">
      <c r="A25" s="220" t="s">
        <v>220</v>
      </c>
      <c r="B25" s="221"/>
      <c r="C25" s="23">
        <v>44927</v>
      </c>
      <c r="D25" s="23">
        <v>45291</v>
      </c>
      <c r="E25" s="216">
        <v>60093876.240000002</v>
      </c>
      <c r="F25" s="213"/>
    </row>
    <row r="26" spans="1:6" s="24" customFormat="1" ht="216" customHeight="1" thickBot="1" x14ac:dyDescent="0.3">
      <c r="A26" s="214" t="s">
        <v>191</v>
      </c>
      <c r="B26" s="218"/>
      <c r="C26" s="88" t="s">
        <v>192</v>
      </c>
      <c r="D26" s="88">
        <v>45291</v>
      </c>
      <c r="E26" s="212">
        <v>-78581.89</v>
      </c>
      <c r="F26" s="213"/>
    </row>
    <row r="27" spans="1:6" s="24" customFormat="1" ht="218.25" customHeight="1" thickBot="1" x14ac:dyDescent="0.3">
      <c r="A27" s="214" t="s">
        <v>189</v>
      </c>
      <c r="B27" s="218"/>
      <c r="C27" s="88" t="s">
        <v>190</v>
      </c>
      <c r="D27" s="88">
        <v>45291</v>
      </c>
      <c r="E27" s="212">
        <v>-782819.57</v>
      </c>
      <c r="F27" s="213"/>
    </row>
    <row r="28" spans="1:6" s="24" customFormat="1" ht="202.5" customHeight="1" thickBot="1" x14ac:dyDescent="0.3">
      <c r="A28" s="214" t="s">
        <v>98</v>
      </c>
      <c r="B28" s="218"/>
      <c r="C28" s="88" t="s">
        <v>193</v>
      </c>
      <c r="D28" s="88">
        <v>45291</v>
      </c>
      <c r="E28" s="212">
        <v>959445.49</v>
      </c>
      <c r="F28" s="213"/>
    </row>
    <row r="29" spans="1:6" s="24" customFormat="1" ht="216" customHeight="1" thickBot="1" x14ac:dyDescent="0.3">
      <c r="A29" s="214" t="s">
        <v>103</v>
      </c>
      <c r="B29" s="218"/>
      <c r="C29" s="88" t="s">
        <v>194</v>
      </c>
      <c r="D29" s="88">
        <v>45291</v>
      </c>
      <c r="E29" s="212">
        <v>219821.5</v>
      </c>
      <c r="F29" s="213"/>
    </row>
    <row r="30" spans="1:6" s="24" customFormat="1" ht="220.5" customHeight="1" thickBot="1" x14ac:dyDescent="0.3">
      <c r="A30" s="214" t="s">
        <v>106</v>
      </c>
      <c r="B30" s="218"/>
      <c r="C30" s="88" t="s">
        <v>195</v>
      </c>
      <c r="D30" s="88">
        <v>45291</v>
      </c>
      <c r="E30" s="212">
        <f>176738.44</f>
        <v>176738.44</v>
      </c>
      <c r="F30" s="213"/>
    </row>
    <row r="31" spans="1:6" s="24" customFormat="1" ht="204.75" customHeight="1" thickBot="1" x14ac:dyDescent="0.3">
      <c r="A31" s="214" t="s">
        <v>128</v>
      </c>
      <c r="B31" s="215"/>
      <c r="C31" s="88" t="s">
        <v>196</v>
      </c>
      <c r="D31" s="88">
        <v>45291</v>
      </c>
      <c r="E31" s="216">
        <v>94976.07</v>
      </c>
      <c r="F31" s="213"/>
    </row>
    <row r="32" spans="1:6" s="24" customFormat="1" ht="344.25" customHeight="1" thickBot="1" x14ac:dyDescent="0.3">
      <c r="A32" s="220" t="s">
        <v>126</v>
      </c>
      <c r="B32" s="221"/>
      <c r="C32" s="88" t="s">
        <v>224</v>
      </c>
      <c r="D32" s="88">
        <v>45838</v>
      </c>
      <c r="E32" s="222">
        <v>9421365.3699999992</v>
      </c>
      <c r="F32" s="223"/>
    </row>
    <row r="33" spans="1:6" s="24" customFormat="1" ht="193.5" customHeight="1" thickBot="1" x14ac:dyDescent="0.3">
      <c r="A33" s="214" t="s">
        <v>129</v>
      </c>
      <c r="B33" s="215"/>
      <c r="C33" s="88" t="s">
        <v>197</v>
      </c>
      <c r="D33" s="88">
        <v>45291</v>
      </c>
      <c r="E33" s="216">
        <v>125648.48</v>
      </c>
      <c r="F33" s="213"/>
    </row>
    <row r="34" spans="1:6" s="24" customFormat="1" ht="193.5" customHeight="1" thickBot="1" x14ac:dyDescent="0.3">
      <c r="A34" s="214" t="s">
        <v>231</v>
      </c>
      <c r="B34" s="215"/>
      <c r="C34" s="88" t="s">
        <v>230</v>
      </c>
      <c r="D34" s="88">
        <v>45291</v>
      </c>
      <c r="E34" s="216">
        <v>211721.75</v>
      </c>
      <c r="F34" s="213"/>
    </row>
    <row r="35" spans="1:6" s="24" customFormat="1" ht="189" customHeight="1" thickBot="1" x14ac:dyDescent="0.3">
      <c r="A35" s="214" t="s">
        <v>143</v>
      </c>
      <c r="B35" s="215"/>
      <c r="C35" s="88" t="s">
        <v>198</v>
      </c>
      <c r="D35" s="88">
        <v>45291</v>
      </c>
      <c r="E35" s="216">
        <v>137254.43</v>
      </c>
      <c r="F35" s="213"/>
    </row>
    <row r="36" spans="1:6" s="24" customFormat="1" ht="208.5" customHeight="1" thickBot="1" x14ac:dyDescent="0.3">
      <c r="A36" s="214" t="s">
        <v>150</v>
      </c>
      <c r="B36" s="215"/>
      <c r="C36" s="88" t="s">
        <v>199</v>
      </c>
      <c r="D36" s="88">
        <v>45291</v>
      </c>
      <c r="E36" s="216">
        <v>165326.47</v>
      </c>
      <c r="F36" s="213"/>
    </row>
    <row r="37" spans="1:6" s="24" customFormat="1" ht="185.25" customHeight="1" thickBot="1" x14ac:dyDescent="0.3">
      <c r="A37" s="214" t="s">
        <v>161</v>
      </c>
      <c r="B37" s="215"/>
      <c r="C37" s="88" t="s">
        <v>200</v>
      </c>
      <c r="D37" s="88">
        <v>45291</v>
      </c>
      <c r="E37" s="216">
        <v>127493.55</v>
      </c>
      <c r="F37" s="213"/>
    </row>
    <row r="38" spans="1:6" s="24" customFormat="1" ht="185.25" customHeight="1" thickBot="1" x14ac:dyDescent="0.3">
      <c r="A38" s="214" t="s">
        <v>176</v>
      </c>
      <c r="B38" s="215"/>
      <c r="C38" s="88" t="s">
        <v>201</v>
      </c>
      <c r="D38" s="88">
        <v>45291</v>
      </c>
      <c r="E38" s="216">
        <v>133677.6</v>
      </c>
      <c r="F38" s="213"/>
    </row>
    <row r="39" spans="1:6" s="24" customFormat="1" ht="182.25" customHeight="1" thickBot="1" x14ac:dyDescent="0.3">
      <c r="A39" s="220" t="s">
        <v>172</v>
      </c>
      <c r="B39" s="221"/>
      <c r="C39" s="88" t="s">
        <v>225</v>
      </c>
      <c r="D39" s="88">
        <v>45291</v>
      </c>
      <c r="E39" s="222">
        <v>1500000</v>
      </c>
      <c r="F39" s="223"/>
    </row>
    <row r="40" spans="1:6" s="24" customFormat="1" ht="208.5" customHeight="1" thickBot="1" x14ac:dyDescent="0.3">
      <c r="A40" s="214" t="s">
        <v>178</v>
      </c>
      <c r="B40" s="215"/>
      <c r="C40" s="88" t="s">
        <v>202</v>
      </c>
      <c r="D40" s="88">
        <v>45291</v>
      </c>
      <c r="E40" s="216">
        <v>133402.42000000001</v>
      </c>
      <c r="F40" s="213"/>
    </row>
    <row r="41" spans="1:6" s="24" customFormat="1" ht="220.5" customHeight="1" thickBot="1" x14ac:dyDescent="0.3">
      <c r="A41" s="214" t="s">
        <v>179</v>
      </c>
      <c r="B41" s="215"/>
      <c r="C41" s="88" t="s">
        <v>203</v>
      </c>
      <c r="D41" s="88">
        <v>45291</v>
      </c>
      <c r="E41" s="216">
        <v>386064.72</v>
      </c>
      <c r="F41" s="213"/>
    </row>
    <row r="42" spans="1:6" s="24" customFormat="1" ht="206.25" customHeight="1" thickBot="1" x14ac:dyDescent="0.3">
      <c r="A42" s="220" t="s">
        <v>229</v>
      </c>
      <c r="B42" s="221"/>
      <c r="C42" s="23" t="s">
        <v>218</v>
      </c>
      <c r="D42" s="23">
        <v>45291</v>
      </c>
      <c r="E42" s="216">
        <v>133182.84</v>
      </c>
      <c r="F42" s="213"/>
    </row>
    <row r="43" spans="1:6" s="11" customFormat="1" ht="60" customHeight="1" thickBot="1" x14ac:dyDescent="0.3">
      <c r="A43" s="188" t="s">
        <v>6</v>
      </c>
      <c r="B43" s="189"/>
      <c r="C43" s="189"/>
      <c r="D43" s="189"/>
      <c r="E43" s="189"/>
      <c r="F43" s="190"/>
    </row>
    <row r="44" spans="1:6" s="11" customFormat="1" ht="101.25" customHeight="1" thickBot="1" x14ac:dyDescent="0.3">
      <c r="A44" s="25" t="s">
        <v>82</v>
      </c>
      <c r="B44" s="25" t="s">
        <v>7</v>
      </c>
      <c r="C44" s="26" t="s">
        <v>8</v>
      </c>
      <c r="D44" s="27" t="s">
        <v>9</v>
      </c>
      <c r="E44" s="227" t="s">
        <v>10</v>
      </c>
      <c r="F44" s="227"/>
    </row>
    <row r="45" spans="1:6" s="11" customFormat="1" ht="28.5" customHeight="1" thickBot="1" x14ac:dyDescent="0.3">
      <c r="A45" s="204">
        <v>44927</v>
      </c>
      <c r="B45" s="205">
        <v>5105867.05</v>
      </c>
      <c r="C45" s="154">
        <v>44932</v>
      </c>
      <c r="D45" s="155" t="s">
        <v>102</v>
      </c>
      <c r="E45" s="202">
        <v>6244489.7199999997</v>
      </c>
      <c r="F45" s="203"/>
    </row>
    <row r="46" spans="1:6" s="11" customFormat="1" ht="28.5" customHeight="1" thickBot="1" x14ac:dyDescent="0.3">
      <c r="A46" s="204"/>
      <c r="B46" s="205"/>
      <c r="C46" s="154">
        <v>44956</v>
      </c>
      <c r="D46" s="155" t="s">
        <v>99</v>
      </c>
      <c r="E46" s="202"/>
      <c r="F46" s="203"/>
    </row>
    <row r="47" spans="1:6" s="11" customFormat="1" ht="28.5" customHeight="1" thickBot="1" x14ac:dyDescent="0.3">
      <c r="A47" s="204"/>
      <c r="B47" s="205"/>
      <c r="C47" s="154">
        <v>44956</v>
      </c>
      <c r="D47" s="155" t="s">
        <v>100</v>
      </c>
      <c r="E47" s="202"/>
      <c r="F47" s="203"/>
    </row>
    <row r="48" spans="1:6" s="11" customFormat="1" ht="28.5" customHeight="1" thickBot="1" x14ac:dyDescent="0.3">
      <c r="A48" s="204"/>
      <c r="B48" s="205"/>
      <c r="C48" s="154">
        <v>44956</v>
      </c>
      <c r="D48" s="155" t="s">
        <v>101</v>
      </c>
      <c r="E48" s="202"/>
      <c r="F48" s="203"/>
    </row>
    <row r="49" spans="1:6" s="11" customFormat="1" ht="28.5" customHeight="1" thickBot="1" x14ac:dyDescent="0.3">
      <c r="A49" s="206">
        <v>44958</v>
      </c>
      <c r="B49" s="207">
        <v>5227644.5200000005</v>
      </c>
      <c r="C49" s="154">
        <v>44984</v>
      </c>
      <c r="D49" s="155" t="s">
        <v>104</v>
      </c>
      <c r="E49" s="209">
        <v>4465594.41</v>
      </c>
      <c r="F49" s="210"/>
    </row>
    <row r="50" spans="1:6" s="11" customFormat="1" ht="28.5" customHeight="1" thickBot="1" x14ac:dyDescent="0.3">
      <c r="A50" s="204"/>
      <c r="B50" s="208"/>
      <c r="C50" s="154">
        <v>44985</v>
      </c>
      <c r="D50" s="155" t="s">
        <v>105</v>
      </c>
      <c r="E50" s="211"/>
      <c r="F50" s="203"/>
    </row>
    <row r="51" spans="1:6" s="11" customFormat="1" ht="28.5" customHeight="1" thickBot="1" x14ac:dyDescent="0.3">
      <c r="A51" s="206">
        <v>44986</v>
      </c>
      <c r="B51" s="207">
        <v>5184561.4600000009</v>
      </c>
      <c r="C51" s="154">
        <v>44988</v>
      </c>
      <c r="D51" s="155" t="s">
        <v>107</v>
      </c>
      <c r="E51" s="209">
        <v>7181732.6900000004</v>
      </c>
      <c r="F51" s="210"/>
    </row>
    <row r="52" spans="1:6" s="11" customFormat="1" ht="28.5" customHeight="1" thickBot="1" x14ac:dyDescent="0.3">
      <c r="A52" s="204"/>
      <c r="B52" s="208"/>
      <c r="C52" s="154">
        <v>44991</v>
      </c>
      <c r="D52" s="155" t="s">
        <v>108</v>
      </c>
      <c r="E52" s="211"/>
      <c r="F52" s="203"/>
    </row>
    <row r="53" spans="1:6" s="11" customFormat="1" ht="28.5" customHeight="1" thickBot="1" x14ac:dyDescent="0.3">
      <c r="A53" s="204"/>
      <c r="B53" s="208"/>
      <c r="C53" s="154">
        <v>44998</v>
      </c>
      <c r="D53" s="155" t="s">
        <v>109</v>
      </c>
      <c r="E53" s="211"/>
      <c r="F53" s="203"/>
    </row>
    <row r="54" spans="1:6" s="11" customFormat="1" ht="28.5" customHeight="1" thickBot="1" x14ac:dyDescent="0.3">
      <c r="A54" s="204"/>
      <c r="B54" s="208"/>
      <c r="C54" s="154">
        <v>44998</v>
      </c>
      <c r="D54" s="155" t="s">
        <v>110</v>
      </c>
      <c r="E54" s="211"/>
      <c r="F54" s="203"/>
    </row>
    <row r="55" spans="1:6" s="11" customFormat="1" ht="28.5" customHeight="1" thickBot="1" x14ac:dyDescent="0.3">
      <c r="A55" s="204"/>
      <c r="B55" s="208"/>
      <c r="C55" s="154">
        <v>45012</v>
      </c>
      <c r="D55" s="155" t="s">
        <v>111</v>
      </c>
      <c r="E55" s="211"/>
      <c r="F55" s="203"/>
    </row>
    <row r="56" spans="1:6" s="11" customFormat="1" ht="28.5" customHeight="1" thickBot="1" x14ac:dyDescent="0.3">
      <c r="A56" s="204"/>
      <c r="B56" s="208"/>
      <c r="C56" s="154">
        <v>45012</v>
      </c>
      <c r="D56" s="155" t="s">
        <v>112</v>
      </c>
      <c r="E56" s="211"/>
      <c r="F56" s="203"/>
    </row>
    <row r="57" spans="1:6" s="11" customFormat="1" ht="28.5" customHeight="1" thickBot="1" x14ac:dyDescent="0.3">
      <c r="A57" s="204"/>
      <c r="B57" s="208"/>
      <c r="C57" s="154">
        <v>45014</v>
      </c>
      <c r="D57" s="155" t="s">
        <v>119</v>
      </c>
      <c r="E57" s="211"/>
      <c r="F57" s="203"/>
    </row>
    <row r="58" spans="1:6" s="11" customFormat="1" ht="28.5" customHeight="1" thickBot="1" x14ac:dyDescent="0.3">
      <c r="A58" s="206">
        <v>45017</v>
      </c>
      <c r="B58" s="207">
        <v>5007823.0199999996</v>
      </c>
      <c r="C58" s="154">
        <v>45026</v>
      </c>
      <c r="D58" s="155" t="s">
        <v>120</v>
      </c>
      <c r="E58" s="209">
        <v>5869348.2999999998</v>
      </c>
      <c r="F58" s="210"/>
    </row>
    <row r="59" spans="1:6" s="11" customFormat="1" ht="28.5" customHeight="1" thickBot="1" x14ac:dyDescent="0.3">
      <c r="A59" s="204"/>
      <c r="B59" s="208"/>
      <c r="C59" s="154">
        <v>45042</v>
      </c>
      <c r="D59" s="155" t="s">
        <v>121</v>
      </c>
      <c r="E59" s="211"/>
      <c r="F59" s="203"/>
    </row>
    <row r="60" spans="1:6" s="11" customFormat="1" ht="28.5" customHeight="1" thickBot="1" x14ac:dyDescent="0.3">
      <c r="A60" s="204"/>
      <c r="B60" s="208"/>
      <c r="C60" s="154">
        <v>45042</v>
      </c>
      <c r="D60" s="155" t="s">
        <v>122</v>
      </c>
      <c r="E60" s="211"/>
      <c r="F60" s="203"/>
    </row>
    <row r="61" spans="1:6" s="11" customFormat="1" ht="28.5" customHeight="1" thickBot="1" x14ac:dyDescent="0.3">
      <c r="A61" s="204"/>
      <c r="B61" s="208"/>
      <c r="C61" s="154">
        <v>45042</v>
      </c>
      <c r="D61" s="155" t="s">
        <v>123</v>
      </c>
      <c r="E61" s="211"/>
      <c r="F61" s="203"/>
    </row>
    <row r="62" spans="1:6" s="11" customFormat="1" ht="28.5" customHeight="1" thickBot="1" x14ac:dyDescent="0.3">
      <c r="A62" s="206">
        <v>45047</v>
      </c>
      <c r="B62" s="207">
        <v>5440169.3200000003</v>
      </c>
      <c r="C62" s="154">
        <v>45048</v>
      </c>
      <c r="D62" s="155" t="s">
        <v>130</v>
      </c>
      <c r="E62" s="209">
        <v>5914006.7000000002</v>
      </c>
      <c r="F62" s="210"/>
    </row>
    <row r="63" spans="1:6" s="11" customFormat="1" ht="28.5" customHeight="1" thickBot="1" x14ac:dyDescent="0.3">
      <c r="A63" s="204"/>
      <c r="B63" s="208"/>
      <c r="C63" s="154">
        <v>45061</v>
      </c>
      <c r="D63" s="155" t="s">
        <v>131</v>
      </c>
      <c r="E63" s="211"/>
      <c r="F63" s="203"/>
    </row>
    <row r="64" spans="1:6" s="11" customFormat="1" ht="28.5" customHeight="1" thickBot="1" x14ac:dyDescent="0.3">
      <c r="A64" s="204"/>
      <c r="B64" s="208"/>
      <c r="C64" s="154">
        <v>45072</v>
      </c>
      <c r="D64" s="155" t="s">
        <v>132</v>
      </c>
      <c r="E64" s="211"/>
      <c r="F64" s="203"/>
    </row>
    <row r="65" spans="1:6" s="11" customFormat="1" ht="28.5" customHeight="1" thickBot="1" x14ac:dyDescent="0.3">
      <c r="A65" s="204"/>
      <c r="B65" s="208"/>
      <c r="C65" s="154">
        <v>45072</v>
      </c>
      <c r="D65" s="155" t="s">
        <v>133</v>
      </c>
      <c r="E65" s="211"/>
      <c r="F65" s="203"/>
    </row>
    <row r="66" spans="1:6" s="11" customFormat="1" ht="28.5" customHeight="1" thickBot="1" x14ac:dyDescent="0.3">
      <c r="A66" s="204"/>
      <c r="B66" s="208"/>
      <c r="C66" s="154">
        <v>45072</v>
      </c>
      <c r="D66" s="155" t="s">
        <v>134</v>
      </c>
      <c r="E66" s="211"/>
      <c r="F66" s="203"/>
    </row>
    <row r="67" spans="1:6" s="11" customFormat="1" ht="28.5" customHeight="1" thickBot="1" x14ac:dyDescent="0.3">
      <c r="A67" s="204"/>
      <c r="B67" s="208"/>
      <c r="C67" s="154">
        <v>45075</v>
      </c>
      <c r="D67" s="155" t="s">
        <v>135</v>
      </c>
      <c r="E67" s="211"/>
      <c r="F67" s="203"/>
    </row>
    <row r="68" spans="1:6" s="11" customFormat="1" ht="42.75" customHeight="1" thickBot="1" x14ac:dyDescent="0.3">
      <c r="A68" s="226"/>
      <c r="B68" s="168">
        <v>9421365.3699999992</v>
      </c>
      <c r="C68" s="101">
        <v>45065</v>
      </c>
      <c r="D68" s="93" t="s">
        <v>127</v>
      </c>
      <c r="E68" s="224">
        <v>9421365.3699999992</v>
      </c>
      <c r="F68" s="225"/>
    </row>
    <row r="69" spans="1:6" s="11" customFormat="1" ht="28.5" customHeight="1" thickBot="1" x14ac:dyDescent="0.3">
      <c r="A69" s="206">
        <v>45078</v>
      </c>
      <c r="B69" s="207">
        <v>5007823.0200000005</v>
      </c>
      <c r="C69" s="154">
        <v>45103</v>
      </c>
      <c r="D69" s="155" t="s">
        <v>138</v>
      </c>
      <c r="E69" s="209">
        <v>5350671.67</v>
      </c>
      <c r="F69" s="210"/>
    </row>
    <row r="70" spans="1:6" s="11" customFormat="1" ht="28.5" customHeight="1" thickBot="1" x14ac:dyDescent="0.3">
      <c r="A70" s="204"/>
      <c r="B70" s="208"/>
      <c r="C70" s="154">
        <v>45105</v>
      </c>
      <c r="D70" s="155" t="s">
        <v>139</v>
      </c>
      <c r="E70" s="211"/>
      <c r="F70" s="203"/>
    </row>
    <row r="71" spans="1:6" s="11" customFormat="1" ht="28.5" customHeight="1" thickBot="1" x14ac:dyDescent="0.3">
      <c r="A71" s="204"/>
      <c r="B71" s="208"/>
      <c r="C71" s="154">
        <v>45105</v>
      </c>
      <c r="D71" s="155" t="s">
        <v>140</v>
      </c>
      <c r="E71" s="211"/>
      <c r="F71" s="203"/>
    </row>
    <row r="72" spans="1:6" s="11" customFormat="1" ht="28.5" customHeight="1" thickBot="1" x14ac:dyDescent="0.3">
      <c r="A72" s="206">
        <v>45108</v>
      </c>
      <c r="B72" s="207">
        <v>5145077.45</v>
      </c>
      <c r="C72" s="154">
        <v>45124</v>
      </c>
      <c r="D72" s="155" t="s">
        <v>144</v>
      </c>
      <c r="E72" s="209">
        <v>5512871.2599999998</v>
      </c>
      <c r="F72" s="210"/>
    </row>
    <row r="73" spans="1:6" s="11" customFormat="1" ht="28.5" customHeight="1" thickBot="1" x14ac:dyDescent="0.3">
      <c r="A73" s="204"/>
      <c r="B73" s="208"/>
      <c r="C73" s="154">
        <v>45133</v>
      </c>
      <c r="D73" s="155" t="s">
        <v>145</v>
      </c>
      <c r="E73" s="211"/>
      <c r="F73" s="203"/>
    </row>
    <row r="74" spans="1:6" s="11" customFormat="1" ht="28.5" customHeight="1" thickBot="1" x14ac:dyDescent="0.3">
      <c r="A74" s="204"/>
      <c r="B74" s="208"/>
      <c r="C74" s="154">
        <v>45135</v>
      </c>
      <c r="D74" s="155" t="s">
        <v>146</v>
      </c>
      <c r="E74" s="211"/>
      <c r="F74" s="203"/>
    </row>
    <row r="75" spans="1:6" s="11" customFormat="1" ht="28.5" customHeight="1" thickBot="1" x14ac:dyDescent="0.3">
      <c r="A75" s="204"/>
      <c r="B75" s="208"/>
      <c r="C75" s="154">
        <v>45135</v>
      </c>
      <c r="D75" s="155" t="s">
        <v>147</v>
      </c>
      <c r="E75" s="211"/>
      <c r="F75" s="203"/>
    </row>
    <row r="76" spans="1:6" s="11" customFormat="1" ht="28.5" customHeight="1" thickBot="1" x14ac:dyDescent="0.3">
      <c r="A76" s="206">
        <v>45139</v>
      </c>
      <c r="B76" s="207">
        <v>5173149.49</v>
      </c>
      <c r="C76" s="154">
        <v>45166</v>
      </c>
      <c r="D76" s="155" t="s">
        <v>151</v>
      </c>
      <c r="E76" s="209">
        <v>5554911.8899999997</v>
      </c>
      <c r="F76" s="210"/>
    </row>
    <row r="77" spans="1:6" s="11" customFormat="1" ht="28.5" customHeight="1" thickBot="1" x14ac:dyDescent="0.3">
      <c r="A77" s="204"/>
      <c r="B77" s="208"/>
      <c r="C77" s="154">
        <v>45166</v>
      </c>
      <c r="D77" s="155" t="s">
        <v>152</v>
      </c>
      <c r="E77" s="211"/>
      <c r="F77" s="203"/>
    </row>
    <row r="78" spans="1:6" s="11" customFormat="1" ht="28.5" customHeight="1" thickBot="1" x14ac:dyDescent="0.3">
      <c r="A78" s="204"/>
      <c r="B78" s="208"/>
      <c r="C78" s="154">
        <v>45166</v>
      </c>
      <c r="D78" s="155" t="s">
        <v>153</v>
      </c>
      <c r="E78" s="211"/>
      <c r="F78" s="203"/>
    </row>
    <row r="79" spans="1:6" s="11" customFormat="1" ht="28.5" customHeight="1" thickBot="1" x14ac:dyDescent="0.3">
      <c r="A79" s="204"/>
      <c r="B79" s="208"/>
      <c r="C79" s="154">
        <v>45166</v>
      </c>
      <c r="D79" s="155" t="s">
        <v>154</v>
      </c>
      <c r="E79" s="211"/>
      <c r="F79" s="203"/>
    </row>
    <row r="80" spans="1:6" s="11" customFormat="1" ht="28.5" customHeight="1" thickBot="1" x14ac:dyDescent="0.3">
      <c r="A80" s="206">
        <v>45170</v>
      </c>
      <c r="B80" s="207">
        <v>5135316.57</v>
      </c>
      <c r="C80" s="154">
        <v>45170</v>
      </c>
      <c r="D80" s="155" t="s">
        <v>157</v>
      </c>
      <c r="E80" s="209">
        <v>4362816.57</v>
      </c>
      <c r="F80" s="210"/>
    </row>
    <row r="81" spans="1:6" s="11" customFormat="1" ht="28.5" customHeight="1" thickBot="1" x14ac:dyDescent="0.3">
      <c r="A81" s="204"/>
      <c r="B81" s="208"/>
      <c r="C81" s="154">
        <v>45195</v>
      </c>
      <c r="D81" s="155" t="s">
        <v>158</v>
      </c>
      <c r="E81" s="211"/>
      <c r="F81" s="203"/>
    </row>
    <row r="82" spans="1:6" s="11" customFormat="1" ht="28.5" customHeight="1" thickBot="1" x14ac:dyDescent="0.3">
      <c r="A82" s="206">
        <v>45200</v>
      </c>
      <c r="B82" s="207">
        <v>5141500.62</v>
      </c>
      <c r="C82" s="154">
        <v>45201</v>
      </c>
      <c r="D82" s="155" t="s">
        <v>162</v>
      </c>
      <c r="E82" s="209">
        <v>7109353.3399999999</v>
      </c>
      <c r="F82" s="210"/>
    </row>
    <row r="83" spans="1:6" s="11" customFormat="1" ht="28.5" customHeight="1" thickBot="1" x14ac:dyDescent="0.3">
      <c r="A83" s="204"/>
      <c r="B83" s="208"/>
      <c r="C83" s="154">
        <v>45201</v>
      </c>
      <c r="D83" s="155" t="s">
        <v>163</v>
      </c>
      <c r="E83" s="211"/>
      <c r="F83" s="203"/>
    </row>
    <row r="84" spans="1:6" s="11" customFormat="1" ht="28.5" customHeight="1" thickBot="1" x14ac:dyDescent="0.3">
      <c r="A84" s="204"/>
      <c r="B84" s="208"/>
      <c r="C84" s="154">
        <v>45201</v>
      </c>
      <c r="D84" s="155" t="s">
        <v>164</v>
      </c>
      <c r="E84" s="211"/>
      <c r="F84" s="203"/>
    </row>
    <row r="85" spans="1:6" s="11" customFormat="1" ht="28.5" customHeight="1" thickBot="1" x14ac:dyDescent="0.3">
      <c r="A85" s="204"/>
      <c r="B85" s="208"/>
      <c r="C85" s="154">
        <v>45201</v>
      </c>
      <c r="D85" s="155" t="s">
        <v>165</v>
      </c>
      <c r="E85" s="211"/>
      <c r="F85" s="203"/>
    </row>
    <row r="86" spans="1:6" s="11" customFormat="1" ht="28.5" customHeight="1" thickBot="1" x14ac:dyDescent="0.3">
      <c r="A86" s="204"/>
      <c r="B86" s="208"/>
      <c r="C86" s="154">
        <v>45222</v>
      </c>
      <c r="D86" s="155" t="s">
        <v>166</v>
      </c>
      <c r="E86" s="211"/>
      <c r="F86" s="203"/>
    </row>
    <row r="87" spans="1:6" s="11" customFormat="1" ht="28.5" customHeight="1" thickBot="1" x14ac:dyDescent="0.3">
      <c r="A87" s="204"/>
      <c r="B87" s="208"/>
      <c r="C87" s="154">
        <v>45225</v>
      </c>
      <c r="D87" s="155" t="s">
        <v>167</v>
      </c>
      <c r="E87" s="211"/>
      <c r="F87" s="203"/>
    </row>
    <row r="88" spans="1:6" s="11" customFormat="1" ht="28.5" customHeight="1" thickBot="1" x14ac:dyDescent="0.3">
      <c r="A88" s="204"/>
      <c r="B88" s="208"/>
      <c r="C88" s="154">
        <v>45229</v>
      </c>
      <c r="D88" s="155" t="s">
        <v>168</v>
      </c>
      <c r="E88" s="211"/>
      <c r="F88" s="203"/>
    </row>
    <row r="89" spans="1:6" s="11" customFormat="1" ht="28.5" customHeight="1" thickBot="1" x14ac:dyDescent="0.3">
      <c r="A89" s="204"/>
      <c r="B89" s="208"/>
      <c r="C89" s="154">
        <v>45229</v>
      </c>
      <c r="D89" s="155" t="s">
        <v>169</v>
      </c>
      <c r="E89" s="211"/>
      <c r="F89" s="203"/>
    </row>
    <row r="90" spans="1:6" s="11" customFormat="1" ht="28.5" customHeight="1" thickBot="1" x14ac:dyDescent="0.3">
      <c r="A90" s="204"/>
      <c r="B90" s="208"/>
      <c r="C90" s="154">
        <v>45229</v>
      </c>
      <c r="D90" s="155" t="s">
        <v>170</v>
      </c>
      <c r="E90" s="211"/>
      <c r="F90" s="203"/>
    </row>
    <row r="91" spans="1:6" s="11" customFormat="1" ht="42.75" customHeight="1" thickBot="1" x14ac:dyDescent="0.3">
      <c r="A91" s="226"/>
      <c r="B91" s="168">
        <v>1500000</v>
      </c>
      <c r="C91" s="101">
        <v>45222</v>
      </c>
      <c r="D91" s="93" t="s">
        <v>173</v>
      </c>
      <c r="E91" s="224">
        <v>1500000</v>
      </c>
      <c r="F91" s="225"/>
    </row>
    <row r="92" spans="1:6" s="11" customFormat="1" ht="28.5" customHeight="1" thickBot="1" x14ac:dyDescent="0.3">
      <c r="A92" s="206">
        <v>45231</v>
      </c>
      <c r="B92" s="207">
        <v>5527290.1600000001</v>
      </c>
      <c r="C92" s="154">
        <v>45231</v>
      </c>
      <c r="D92" s="155" t="s">
        <v>180</v>
      </c>
      <c r="E92" s="209">
        <f>6220325.63</f>
        <v>6220325.6299999999</v>
      </c>
      <c r="F92" s="210"/>
    </row>
    <row r="93" spans="1:6" s="11" customFormat="1" ht="28.5" customHeight="1" thickBot="1" x14ac:dyDescent="0.3">
      <c r="A93" s="204"/>
      <c r="B93" s="208"/>
      <c r="C93" s="154">
        <v>45257</v>
      </c>
      <c r="D93" s="155" t="s">
        <v>181</v>
      </c>
      <c r="E93" s="211"/>
      <c r="F93" s="203"/>
    </row>
    <row r="94" spans="1:6" s="11" customFormat="1" ht="28.5" customHeight="1" thickBot="1" x14ac:dyDescent="0.3">
      <c r="A94" s="204"/>
      <c r="B94" s="208"/>
      <c r="C94" s="154">
        <v>45258</v>
      </c>
      <c r="D94" s="155" t="s">
        <v>182</v>
      </c>
      <c r="E94" s="211"/>
      <c r="F94" s="203"/>
    </row>
    <row r="95" spans="1:6" s="11" customFormat="1" ht="28.5" customHeight="1" thickBot="1" x14ac:dyDescent="0.3">
      <c r="A95" s="204"/>
      <c r="B95" s="208"/>
      <c r="C95" s="154">
        <v>45258</v>
      </c>
      <c r="D95" s="155" t="s">
        <v>183</v>
      </c>
      <c r="E95" s="211"/>
      <c r="F95" s="203"/>
    </row>
    <row r="96" spans="1:6" s="11" customFormat="1" ht="28.5" customHeight="1" thickBot="1" x14ac:dyDescent="0.3">
      <c r="A96" s="204"/>
      <c r="B96" s="208"/>
      <c r="C96" s="154">
        <v>45260</v>
      </c>
      <c r="D96" s="155" t="s">
        <v>184</v>
      </c>
      <c r="E96" s="211"/>
      <c r="F96" s="203"/>
    </row>
    <row r="97" spans="1:6" s="11" customFormat="1" ht="28.5" customHeight="1" thickBot="1" x14ac:dyDescent="0.3">
      <c r="A97" s="206">
        <v>45261</v>
      </c>
      <c r="B97" s="207">
        <v>5141005.8600000003</v>
      </c>
      <c r="C97" s="154">
        <v>45271</v>
      </c>
      <c r="D97" s="155" t="s">
        <v>204</v>
      </c>
      <c r="E97" s="209">
        <v>5994771.7199999997</v>
      </c>
      <c r="F97" s="210"/>
    </row>
    <row r="98" spans="1:6" s="11" customFormat="1" ht="28.5" customHeight="1" thickBot="1" x14ac:dyDescent="0.3">
      <c r="A98" s="204"/>
      <c r="B98" s="208"/>
      <c r="C98" s="154">
        <v>45282</v>
      </c>
      <c r="D98" s="155" t="s">
        <v>205</v>
      </c>
      <c r="E98" s="211"/>
      <c r="F98" s="203"/>
    </row>
    <row r="99" spans="1:6" s="11" customFormat="1" ht="28.5" customHeight="1" thickBot="1" x14ac:dyDescent="0.3">
      <c r="A99" s="204"/>
      <c r="B99" s="208"/>
      <c r="C99" s="154">
        <v>45282</v>
      </c>
      <c r="D99" s="155" t="s">
        <v>206</v>
      </c>
      <c r="E99" s="211"/>
      <c r="F99" s="202"/>
    </row>
    <row r="100" spans="1:6" s="11" customFormat="1" ht="28.5" customHeight="1" thickBot="1" x14ac:dyDescent="0.3">
      <c r="A100" s="204"/>
      <c r="B100" s="208"/>
      <c r="C100" s="154">
        <v>45282</v>
      </c>
      <c r="D100" s="155" t="s">
        <v>207</v>
      </c>
      <c r="E100" s="211"/>
      <c r="F100" s="203"/>
    </row>
    <row r="101" spans="1:6" s="11" customFormat="1" ht="38.1" customHeight="1" thickBot="1" x14ac:dyDescent="0.3">
      <c r="A101" s="186" t="s">
        <v>83</v>
      </c>
      <c r="B101" s="186"/>
      <c r="C101" s="186"/>
      <c r="D101" s="186"/>
      <c r="E101" s="181">
        <v>4341679.13</v>
      </c>
      <c r="F101" s="182"/>
    </row>
    <row r="102" spans="1:6" s="11" customFormat="1" ht="37.5" customHeight="1" thickBot="1" x14ac:dyDescent="0.3">
      <c r="A102" s="186" t="s">
        <v>84</v>
      </c>
      <c r="B102" s="186"/>
      <c r="C102" s="186"/>
      <c r="D102" s="186"/>
      <c r="E102" s="185">
        <f>SUM(E45:F100)</f>
        <v>80702259.269999996</v>
      </c>
      <c r="F102" s="185"/>
    </row>
    <row r="103" spans="1:6" s="11" customFormat="1" ht="37.5" customHeight="1" thickBot="1" x14ac:dyDescent="0.3">
      <c r="A103" s="176" t="s">
        <v>11</v>
      </c>
      <c r="B103" s="177"/>
      <c r="C103" s="177"/>
      <c r="D103" s="178"/>
      <c r="E103" s="185">
        <f>26815.1+20434.17+26891.08+22598.65+25051.52+25977.1+22909.77+28425.84+26342.51+25664.8+21490.05+27910.59+402221.67+21622.57</f>
        <v>724355.41999999993</v>
      </c>
      <c r="F103" s="185"/>
    </row>
    <row r="104" spans="1:6" s="11" customFormat="1" ht="38.1" customHeight="1" thickBot="1" x14ac:dyDescent="0.3">
      <c r="A104" s="186" t="s">
        <v>12</v>
      </c>
      <c r="B104" s="186"/>
      <c r="C104" s="186"/>
      <c r="D104" s="186"/>
      <c r="E104" s="185">
        <f>20637.78</f>
        <v>20637.78</v>
      </c>
      <c r="F104" s="185"/>
    </row>
    <row r="105" spans="1:6" s="11" customFormat="1" ht="38.1" customHeight="1" thickBot="1" x14ac:dyDescent="0.3">
      <c r="A105" s="186" t="s">
        <v>13</v>
      </c>
      <c r="B105" s="186"/>
      <c r="C105" s="186"/>
      <c r="D105" s="186"/>
      <c r="E105" s="197">
        <f>E101+E102+E103+E104</f>
        <v>85788931.599999994</v>
      </c>
      <c r="F105" s="197"/>
    </row>
    <row r="106" spans="1:6" s="11" customFormat="1" ht="38.1" customHeight="1" thickBot="1" x14ac:dyDescent="0.3">
      <c r="A106" s="198"/>
      <c r="B106" s="198"/>
      <c r="C106" s="198"/>
      <c r="D106" s="198"/>
      <c r="E106" s="198"/>
      <c r="F106" s="198"/>
    </row>
    <row r="107" spans="1:6" s="11" customFormat="1" ht="38.1" customHeight="1" thickBot="1" x14ac:dyDescent="0.3">
      <c r="A107" s="186" t="s">
        <v>14</v>
      </c>
      <c r="B107" s="186"/>
      <c r="C107" s="186"/>
      <c r="D107" s="186"/>
      <c r="E107" s="185">
        <v>0</v>
      </c>
      <c r="F107" s="185"/>
    </row>
    <row r="108" spans="1:6" s="11" customFormat="1" ht="38.1" customHeight="1" thickBot="1" x14ac:dyDescent="0.3">
      <c r="A108" s="186" t="s">
        <v>15</v>
      </c>
      <c r="B108" s="186"/>
      <c r="C108" s="186"/>
      <c r="D108" s="186"/>
      <c r="E108" s="191">
        <f>E105+E107</f>
        <v>85788931.599999994</v>
      </c>
      <c r="F108" s="191"/>
    </row>
    <row r="109" spans="1:6" ht="30" customHeight="1" x14ac:dyDescent="0.25">
      <c r="A109" s="30" t="s">
        <v>16</v>
      </c>
      <c r="B109" s="31"/>
      <c r="C109" s="31"/>
      <c r="D109" s="31"/>
      <c r="E109" s="32"/>
    </row>
    <row r="110" spans="1:6" ht="30" customHeight="1" x14ac:dyDescent="0.25">
      <c r="A110" s="30" t="s">
        <v>17</v>
      </c>
      <c r="B110" s="31"/>
      <c r="C110" s="31"/>
      <c r="D110" s="33"/>
    </row>
    <row r="111" spans="1:6" ht="30" customHeight="1" x14ac:dyDescent="0.25">
      <c r="A111" s="192" t="s">
        <v>85</v>
      </c>
      <c r="B111" s="192"/>
      <c r="C111" s="192"/>
      <c r="D111" s="33"/>
    </row>
    <row r="112" spans="1:6" ht="30" customHeight="1" x14ac:dyDescent="0.25">
      <c r="A112" s="34"/>
      <c r="B112" s="33"/>
      <c r="C112" s="33"/>
      <c r="D112" s="33"/>
      <c r="F112" s="11"/>
    </row>
    <row r="113" spans="1:6" ht="30" customHeight="1" x14ac:dyDescent="0.25">
      <c r="A113" s="35"/>
      <c r="B113" s="35"/>
      <c r="C113" s="35"/>
      <c r="D113" s="35"/>
      <c r="E113" s="35"/>
      <c r="F113" s="35"/>
    </row>
    <row r="114" spans="1:6" ht="30" customHeight="1" x14ac:dyDescent="0.25">
      <c r="A114" s="35"/>
      <c r="B114" s="35"/>
      <c r="C114" s="35"/>
      <c r="D114" s="35"/>
      <c r="E114" s="35"/>
      <c r="F114" s="35"/>
    </row>
    <row r="115" spans="1:6" ht="30" customHeight="1" x14ac:dyDescent="0.25">
      <c r="A115" s="35"/>
      <c r="B115" s="35"/>
      <c r="C115" s="35"/>
      <c r="D115" s="35"/>
      <c r="E115" s="35"/>
      <c r="F115" s="35"/>
    </row>
    <row r="116" spans="1:6" ht="30" customHeight="1" x14ac:dyDescent="0.25">
      <c r="A116" s="35"/>
      <c r="B116" s="35"/>
      <c r="C116" s="35"/>
      <c r="D116" s="35"/>
      <c r="E116" s="35"/>
      <c r="F116" s="35"/>
    </row>
    <row r="117" spans="1:6" ht="30" customHeight="1" x14ac:dyDescent="0.25">
      <c r="A117" s="35"/>
      <c r="B117" s="35"/>
      <c r="C117" s="35"/>
      <c r="D117" s="35"/>
      <c r="E117" s="35"/>
      <c r="F117" s="35"/>
    </row>
    <row r="118" spans="1:6" ht="30" customHeight="1" x14ac:dyDescent="0.25">
      <c r="A118" s="35"/>
      <c r="B118" s="35"/>
      <c r="C118" s="35"/>
      <c r="D118" s="35"/>
      <c r="E118" s="35"/>
      <c r="F118" s="35"/>
    </row>
    <row r="119" spans="1:6" ht="30" customHeight="1" x14ac:dyDescent="0.25">
      <c r="A119" s="193" t="s">
        <v>97</v>
      </c>
      <c r="B119" s="193"/>
      <c r="C119" s="193"/>
      <c r="D119" s="193"/>
      <c r="E119" s="193"/>
      <c r="F119" s="193"/>
    </row>
    <row r="120" spans="1:6" ht="30" customHeight="1" x14ac:dyDescent="0.25">
      <c r="A120" s="193"/>
      <c r="B120" s="193"/>
      <c r="C120" s="193"/>
      <c r="D120" s="193"/>
      <c r="E120" s="193"/>
      <c r="F120" s="193"/>
    </row>
    <row r="121" spans="1:6" ht="30" customHeight="1" x14ac:dyDescent="0.25">
      <c r="A121" s="35"/>
      <c r="B121" s="35"/>
      <c r="C121" s="35"/>
      <c r="D121" s="35"/>
      <c r="E121" s="35"/>
      <c r="F121" s="35"/>
    </row>
    <row r="122" spans="1:6" ht="30" customHeight="1" x14ac:dyDescent="0.25">
      <c r="A122" s="35"/>
      <c r="B122" s="35"/>
      <c r="C122" s="35"/>
      <c r="D122" s="35"/>
      <c r="E122" s="35"/>
      <c r="F122" s="35"/>
    </row>
    <row r="123" spans="1:6" ht="31.5" customHeight="1" x14ac:dyDescent="0.25">
      <c r="A123" s="35"/>
      <c r="B123" s="35"/>
      <c r="C123" s="35"/>
      <c r="D123" s="35"/>
      <c r="E123" s="35"/>
      <c r="F123" s="35"/>
    </row>
    <row r="124" spans="1:6" ht="30" customHeight="1" thickBot="1" x14ac:dyDescent="0.3">
      <c r="A124" s="35"/>
      <c r="B124" s="35"/>
      <c r="C124" s="35"/>
      <c r="D124" s="35"/>
      <c r="E124" s="35"/>
      <c r="F124" s="35"/>
    </row>
    <row r="125" spans="1:6" s="11" customFormat="1" ht="37.5" customHeight="1" thickBot="1" x14ac:dyDescent="0.3">
      <c r="A125" s="194" t="s">
        <v>18</v>
      </c>
      <c r="B125" s="195"/>
      <c r="C125" s="195"/>
      <c r="D125" s="195"/>
      <c r="E125" s="195"/>
      <c r="F125" s="196"/>
    </row>
    <row r="126" spans="1:6" s="11" customFormat="1" ht="37.5" customHeight="1" thickBot="1" x14ac:dyDescent="0.3">
      <c r="A126" s="36" t="s">
        <v>91</v>
      </c>
      <c r="B126" s="37"/>
      <c r="C126" s="37"/>
      <c r="D126" s="37"/>
      <c r="E126" s="37"/>
      <c r="F126" s="3"/>
    </row>
    <row r="127" spans="1:6" s="11" customFormat="1" ht="33" customHeight="1" x14ac:dyDescent="0.25">
      <c r="A127" s="38"/>
      <c r="B127" s="39"/>
      <c r="C127" s="40" t="s">
        <v>19</v>
      </c>
      <c r="D127" s="40" t="s">
        <v>19</v>
      </c>
      <c r="E127" s="40" t="s">
        <v>20</v>
      </c>
      <c r="F127" s="40" t="s">
        <v>19</v>
      </c>
    </row>
    <row r="128" spans="1:6" s="11" customFormat="1" ht="33" customHeight="1" x14ac:dyDescent="0.25">
      <c r="A128" s="40" t="s">
        <v>21</v>
      </c>
      <c r="B128" s="41" t="s">
        <v>19</v>
      </c>
      <c r="C128" s="40" t="s">
        <v>22</v>
      </c>
      <c r="D128" s="40" t="s">
        <v>22</v>
      </c>
      <c r="E128" s="40" t="s">
        <v>19</v>
      </c>
      <c r="F128" s="40" t="s">
        <v>22</v>
      </c>
    </row>
    <row r="129" spans="1:6" s="11" customFormat="1" ht="33" customHeight="1" x14ac:dyDescent="0.25">
      <c r="A129" s="40" t="s">
        <v>23</v>
      </c>
      <c r="B129" s="41" t="s">
        <v>22</v>
      </c>
      <c r="C129" s="40" t="s">
        <v>24</v>
      </c>
      <c r="D129" s="40" t="s">
        <v>25</v>
      </c>
      <c r="E129" s="40" t="s">
        <v>26</v>
      </c>
      <c r="F129" s="40" t="s">
        <v>27</v>
      </c>
    </row>
    <row r="130" spans="1:6" s="11" customFormat="1" ht="33" customHeight="1" x14ac:dyDescent="0.25">
      <c r="A130" s="40" t="s">
        <v>28</v>
      </c>
      <c r="B130" s="41" t="s">
        <v>29</v>
      </c>
      <c r="C130" s="40" t="s">
        <v>30</v>
      </c>
      <c r="D130" s="40" t="s">
        <v>31</v>
      </c>
      <c r="E130" s="40" t="s">
        <v>29</v>
      </c>
      <c r="F130" s="40" t="s">
        <v>32</v>
      </c>
    </row>
    <row r="131" spans="1:6" s="11" customFormat="1" ht="33" customHeight="1" x14ac:dyDescent="0.25">
      <c r="A131" s="38"/>
      <c r="B131" s="41" t="s">
        <v>33</v>
      </c>
      <c r="C131" s="40" t="s">
        <v>34</v>
      </c>
      <c r="D131" s="40" t="s">
        <v>33</v>
      </c>
      <c r="E131" s="40" t="s">
        <v>35</v>
      </c>
      <c r="F131" s="40" t="s">
        <v>36</v>
      </c>
    </row>
    <row r="132" spans="1:6" s="11" customFormat="1" ht="33" customHeight="1" x14ac:dyDescent="0.25">
      <c r="A132" s="38"/>
      <c r="B132" s="42"/>
      <c r="C132" s="40" t="s">
        <v>33</v>
      </c>
      <c r="D132" s="40" t="s">
        <v>37</v>
      </c>
      <c r="E132" s="40" t="s">
        <v>38</v>
      </c>
      <c r="F132" s="40" t="s">
        <v>39</v>
      </c>
    </row>
    <row r="133" spans="1:6" s="11" customFormat="1" ht="33" customHeight="1" thickBot="1" x14ac:dyDescent="0.3">
      <c r="A133" s="43"/>
      <c r="B133" s="44"/>
      <c r="C133" s="45" t="s">
        <v>40</v>
      </c>
      <c r="D133" s="46"/>
      <c r="E133" s="47" t="s">
        <v>41</v>
      </c>
      <c r="F133" s="46"/>
    </row>
    <row r="134" spans="1:6" s="11" customFormat="1" ht="47.25" customHeight="1" thickBot="1" x14ac:dyDescent="0.3">
      <c r="A134" s="48" t="s">
        <v>42</v>
      </c>
      <c r="B134" s="49">
        <f t="shared" ref="B134:B149" si="0">D134+F134</f>
        <v>0</v>
      </c>
      <c r="C134" s="50">
        <v>0</v>
      </c>
      <c r="D134" s="50">
        <v>0</v>
      </c>
      <c r="E134" s="50">
        <f>D134+C134</f>
        <v>0</v>
      </c>
      <c r="F134" s="51"/>
    </row>
    <row r="135" spans="1:6" s="11" customFormat="1" ht="47.25" customHeight="1" thickBot="1" x14ac:dyDescent="0.3">
      <c r="A135" s="48" t="s">
        <v>43</v>
      </c>
      <c r="B135" s="49">
        <f t="shared" si="0"/>
        <v>0</v>
      </c>
      <c r="C135" s="50">
        <v>0</v>
      </c>
      <c r="D135" s="50">
        <v>0</v>
      </c>
      <c r="E135" s="50">
        <f t="shared" ref="E135:E149" si="1">D135+C135</f>
        <v>0</v>
      </c>
      <c r="F135" s="51"/>
    </row>
    <row r="136" spans="1:6" s="11" customFormat="1" ht="47.25" customHeight="1" thickBot="1" x14ac:dyDescent="0.3">
      <c r="A136" s="48" t="s">
        <v>44</v>
      </c>
      <c r="B136" s="49">
        <f>D136+F136</f>
        <v>10642743.98</v>
      </c>
      <c r="C136" s="50">
        <f>577314.98+159854.45</f>
        <v>737169.42999999993</v>
      </c>
      <c r="D136" s="50">
        <f>83940.32+690265.18+630940.69+775226.65+116627.17+905551.51+312052.29+698828.88+822075.37+776517.52+860074.72+2767024.46+849283.4</f>
        <v>10288408.16</v>
      </c>
      <c r="E136" s="50">
        <f>D136+C136</f>
        <v>11025577.59</v>
      </c>
      <c r="F136" s="51">
        <f>341135.03+80+13120.79</f>
        <v>354335.82</v>
      </c>
    </row>
    <row r="137" spans="1:6" s="11" customFormat="1" ht="53.25" customHeight="1" thickBot="1" x14ac:dyDescent="0.3">
      <c r="A137" s="52" t="s">
        <v>45</v>
      </c>
      <c r="B137" s="49">
        <f t="shared" si="0"/>
        <v>11511060.769999998</v>
      </c>
      <c r="C137" s="50">
        <f>672766.43+356808.67</f>
        <v>1029575.1000000001</v>
      </c>
      <c r="D137" s="50">
        <f>4332+69253.91+3588+587715.22+1004919.52+819746.53+297131.83+1112144.27+461191.95+959851.46+1033596.45+1145686.72+1373242.61+1479850.63+668761.29</f>
        <v>11021012.389999997</v>
      </c>
      <c r="E137" s="50">
        <f t="shared" si="1"/>
        <v>12050587.489999996</v>
      </c>
      <c r="F137" s="51">
        <f>480359.32+9689.06</f>
        <v>490048.38</v>
      </c>
    </row>
    <row r="138" spans="1:6" s="11" customFormat="1" ht="47.25" customHeight="1" thickBot="1" x14ac:dyDescent="0.3">
      <c r="A138" s="48" t="s">
        <v>46</v>
      </c>
      <c r="B138" s="49">
        <f t="shared" si="0"/>
        <v>276.59999999999997</v>
      </c>
      <c r="C138" s="50">
        <v>0</v>
      </c>
      <c r="D138" s="50">
        <f>260.7+7.95+7.95</f>
        <v>276.59999999999997</v>
      </c>
      <c r="E138" s="50">
        <f t="shared" si="1"/>
        <v>276.59999999999997</v>
      </c>
      <c r="F138" s="51"/>
    </row>
    <row r="139" spans="1:6" s="11" customFormat="1" ht="54" customHeight="1" thickBot="1" x14ac:dyDescent="0.3">
      <c r="A139" s="52" t="s">
        <v>47</v>
      </c>
      <c r="B139" s="49">
        <f t="shared" si="0"/>
        <v>1106802.79</v>
      </c>
      <c r="C139" s="50">
        <f>62767.31+9706.54</f>
        <v>72473.850000000006</v>
      </c>
      <c r="D139" s="50">
        <f>49728.19+52226.42+45792.84+36980.91+79321.21+84843.68+141093.52+154657.11+112284.28+85844.23+105933.37+90809.82+3577.88</f>
        <v>1043093.4600000001</v>
      </c>
      <c r="E139" s="50">
        <f t="shared" si="1"/>
        <v>1115567.31</v>
      </c>
      <c r="F139" s="51">
        <f>63709.33</f>
        <v>63709.33</v>
      </c>
    </row>
    <row r="140" spans="1:6" s="11" customFormat="1" ht="47.25" customHeight="1" thickBot="1" x14ac:dyDescent="0.3">
      <c r="A140" s="48" t="s">
        <v>48</v>
      </c>
      <c r="B140" s="49">
        <f t="shared" si="0"/>
        <v>53782100.149999999</v>
      </c>
      <c r="C140" s="50">
        <f>336066.08+3143.33</f>
        <v>339209.41000000003</v>
      </c>
      <c r="D140" s="50">
        <f>4607244.86+318094.83+4542016.08+4111716.48+4210459.88+4372833.64+4314220.93+3611732.98+3636680.01+3480590.4+3650447.76+3639341.83+3588075.64+5481547.63</f>
        <v>53565002.949999996</v>
      </c>
      <c r="E140" s="50">
        <f t="shared" si="1"/>
        <v>53904212.359999992</v>
      </c>
      <c r="F140" s="51">
        <f>217097.2</f>
        <v>217097.2</v>
      </c>
    </row>
    <row r="141" spans="1:6" s="11" customFormat="1" ht="55.5" customHeight="1" thickBot="1" x14ac:dyDescent="0.3">
      <c r="A141" s="52" t="s">
        <v>49</v>
      </c>
      <c r="B141" s="49">
        <f t="shared" si="0"/>
        <v>3143126.1599999997</v>
      </c>
      <c r="C141" s="50">
        <f>136144.45+13872.5</f>
        <v>150016.95000000001</v>
      </c>
      <c r="D141" s="50">
        <f>36195+121599.11+71388.21+217803.62+241697.89+251895.46+239555.69+221196.08+217342.13+334918.88+296379.34+413880.9+309648.48</f>
        <v>2973500.7899999996</v>
      </c>
      <c r="E141" s="50">
        <f t="shared" si="1"/>
        <v>3123517.7399999998</v>
      </c>
      <c r="F141" s="51">
        <f>168884.25+741.12</f>
        <v>169625.37</v>
      </c>
    </row>
    <row r="142" spans="1:6" s="11" customFormat="1" ht="47.25" customHeight="1" thickBot="1" x14ac:dyDescent="0.3">
      <c r="A142" s="48" t="s">
        <v>50</v>
      </c>
      <c r="B142" s="49">
        <f t="shared" si="0"/>
        <v>0</v>
      </c>
      <c r="C142" s="50">
        <v>0</v>
      </c>
      <c r="D142" s="50">
        <v>0</v>
      </c>
      <c r="E142" s="50">
        <f t="shared" si="1"/>
        <v>0</v>
      </c>
      <c r="F142" s="51"/>
    </row>
    <row r="143" spans="1:6" s="11" customFormat="1" ht="47.25" customHeight="1" thickBot="1" x14ac:dyDescent="0.3">
      <c r="A143" s="48" t="s">
        <v>51</v>
      </c>
      <c r="B143" s="49">
        <f t="shared" si="0"/>
        <v>297360.08</v>
      </c>
      <c r="C143" s="50">
        <f>10745+1050+542.71</f>
        <v>12337.71</v>
      </c>
      <c r="D143" s="50">
        <f>33562.71+5092.71+26076.65+20503.22+9503.22+49993.68+23853.82+27333.32+51954.23+9409.7+29863.41</f>
        <v>287146.67000000004</v>
      </c>
      <c r="E143" s="50">
        <f t="shared" si="1"/>
        <v>299484.38000000006</v>
      </c>
      <c r="F143" s="51">
        <f>10213.41</f>
        <v>10213.41</v>
      </c>
    </row>
    <row r="144" spans="1:6" s="11" customFormat="1" ht="47.25" customHeight="1" thickBot="1" x14ac:dyDescent="0.3">
      <c r="A144" s="48" t="s">
        <v>52</v>
      </c>
      <c r="B144" s="49">
        <f t="shared" si="0"/>
        <v>0</v>
      </c>
      <c r="C144" s="50">
        <v>0</v>
      </c>
      <c r="D144" s="50">
        <v>0</v>
      </c>
      <c r="E144" s="50">
        <f t="shared" si="1"/>
        <v>0</v>
      </c>
      <c r="F144" s="51"/>
    </row>
    <row r="145" spans="1:14" s="11" customFormat="1" ht="47.25" customHeight="1" thickBot="1" x14ac:dyDescent="0.3">
      <c r="A145" s="48" t="s">
        <v>53</v>
      </c>
      <c r="B145" s="49">
        <f t="shared" si="0"/>
        <v>0</v>
      </c>
      <c r="C145" s="50">
        <v>0</v>
      </c>
      <c r="D145" s="50">
        <v>0</v>
      </c>
      <c r="E145" s="50">
        <f t="shared" si="1"/>
        <v>0</v>
      </c>
      <c r="F145" s="51"/>
    </row>
    <row r="146" spans="1:14" s="11" customFormat="1" ht="54" customHeight="1" thickBot="1" x14ac:dyDescent="0.3">
      <c r="A146" s="52" t="s">
        <v>54</v>
      </c>
      <c r="B146" s="49">
        <f t="shared" si="0"/>
        <v>0</v>
      </c>
      <c r="C146" s="50">
        <v>0</v>
      </c>
      <c r="D146" s="50">
        <v>0</v>
      </c>
      <c r="E146" s="50">
        <f t="shared" si="1"/>
        <v>0</v>
      </c>
      <c r="F146" s="51"/>
    </row>
    <row r="147" spans="1:14" s="11" customFormat="1" ht="47.25" customHeight="1" thickBot="1" x14ac:dyDescent="0.3">
      <c r="A147" s="48" t="s">
        <v>55</v>
      </c>
      <c r="B147" s="49">
        <f t="shared" si="0"/>
        <v>0</v>
      </c>
      <c r="C147" s="50">
        <v>0</v>
      </c>
      <c r="D147" s="50">
        <v>0</v>
      </c>
      <c r="E147" s="50">
        <f t="shared" si="1"/>
        <v>0</v>
      </c>
      <c r="F147" s="51"/>
    </row>
    <row r="148" spans="1:14" s="11" customFormat="1" ht="55.5" customHeight="1" thickBot="1" x14ac:dyDescent="0.3">
      <c r="A148" s="52" t="s">
        <v>56</v>
      </c>
      <c r="B148" s="49">
        <f t="shared" si="0"/>
        <v>39781</v>
      </c>
      <c r="C148" s="50">
        <v>0</v>
      </c>
      <c r="D148" s="50">
        <f>3519+3645.5+3047.5+2978.5+3047.5+2932.5+2633.5+2633.5+2587.5+2748.5+2737+2916+4354.5</f>
        <v>39781</v>
      </c>
      <c r="E148" s="50">
        <f t="shared" si="1"/>
        <v>39781</v>
      </c>
      <c r="F148" s="51"/>
    </row>
    <row r="149" spans="1:14" s="11" customFormat="1" ht="47.25" customHeight="1" thickBot="1" x14ac:dyDescent="0.3">
      <c r="A149" s="48" t="s">
        <v>57</v>
      </c>
      <c r="B149" s="49">
        <f t="shared" si="0"/>
        <v>0</v>
      </c>
      <c r="C149" s="50">
        <v>0</v>
      </c>
      <c r="D149" s="50">
        <v>0</v>
      </c>
      <c r="E149" s="50">
        <f t="shared" si="1"/>
        <v>0</v>
      </c>
      <c r="F149" s="51"/>
    </row>
    <row r="150" spans="1:14" s="11" customFormat="1" ht="47.25" customHeight="1" thickBot="1" x14ac:dyDescent="0.3">
      <c r="A150" s="53" t="s">
        <v>0</v>
      </c>
      <c r="B150" s="54">
        <f>SUM(B134:B149)</f>
        <v>80523251.529999986</v>
      </c>
      <c r="C150" s="54">
        <f>SUM(C134:C149)</f>
        <v>2340782.4500000002</v>
      </c>
      <c r="D150" s="54">
        <f>SUM(D134:D149)</f>
        <v>79218222.020000011</v>
      </c>
      <c r="E150" s="54">
        <f>SUM(E134:E149)</f>
        <v>81559004.469999984</v>
      </c>
      <c r="F150" s="54">
        <f>SUM(F134:F149)</f>
        <v>1305029.51</v>
      </c>
    </row>
    <row r="151" spans="1:14" s="56" customFormat="1" ht="30" customHeight="1" x14ac:dyDescent="0.25">
      <c r="A151" s="30" t="s">
        <v>58</v>
      </c>
      <c r="B151" s="31"/>
      <c r="C151" s="31"/>
      <c r="D151" s="31"/>
      <c r="E151" s="55"/>
      <c r="F151" s="1"/>
      <c r="G151" s="13"/>
      <c r="H151" s="13"/>
      <c r="I151" s="13"/>
      <c r="J151" s="13"/>
      <c r="K151" s="13"/>
      <c r="L151" s="13"/>
      <c r="M151" s="13"/>
      <c r="N151" s="13"/>
    </row>
    <row r="152" spans="1:14" s="56" customFormat="1" ht="30" customHeight="1" x14ac:dyDescent="0.25">
      <c r="A152" s="30" t="s">
        <v>59</v>
      </c>
      <c r="B152" s="31"/>
      <c r="C152" s="57"/>
      <c r="D152" s="58"/>
      <c r="E152" s="59"/>
      <c r="F152" s="1"/>
      <c r="G152" s="13"/>
      <c r="H152" s="13"/>
      <c r="I152" s="13"/>
      <c r="J152" s="13"/>
      <c r="K152" s="13"/>
      <c r="L152" s="13"/>
      <c r="M152" s="13"/>
      <c r="N152" s="13"/>
    </row>
    <row r="153" spans="1:14" s="56" customFormat="1" ht="30" customHeight="1" x14ac:dyDescent="0.25">
      <c r="A153" s="30" t="s">
        <v>60</v>
      </c>
      <c r="B153" s="31"/>
      <c r="C153" s="57"/>
      <c r="D153" s="60"/>
      <c r="E153" s="59"/>
      <c r="F153" s="1"/>
      <c r="G153" s="13"/>
      <c r="H153" s="13"/>
      <c r="I153" s="13"/>
      <c r="J153" s="13"/>
      <c r="K153" s="13"/>
      <c r="L153" s="13"/>
      <c r="M153" s="13"/>
      <c r="N153" s="13"/>
    </row>
    <row r="154" spans="1:14" s="56" customFormat="1" ht="30" customHeight="1" x14ac:dyDescent="0.25">
      <c r="A154" s="30" t="s">
        <v>61</v>
      </c>
      <c r="B154" s="31"/>
      <c r="C154" s="31"/>
      <c r="D154" s="31"/>
      <c r="E154" s="55"/>
      <c r="F154" s="1"/>
      <c r="G154" s="13"/>
      <c r="H154" s="13"/>
      <c r="I154" s="13"/>
      <c r="J154" s="13"/>
      <c r="K154" s="13"/>
      <c r="L154" s="13"/>
      <c r="M154" s="13"/>
      <c r="N154" s="13"/>
    </row>
    <row r="155" spans="1:14" s="56" customFormat="1" ht="30" customHeight="1" x14ac:dyDescent="0.25">
      <c r="A155" s="30" t="s">
        <v>62</v>
      </c>
      <c r="B155" s="31"/>
      <c r="C155" s="31"/>
      <c r="D155" s="31"/>
      <c r="E155" s="55"/>
      <c r="F155" s="1"/>
      <c r="G155" s="13"/>
      <c r="H155" s="13"/>
      <c r="I155" s="13"/>
      <c r="J155" s="13"/>
      <c r="K155" s="13"/>
      <c r="L155" s="13"/>
      <c r="M155" s="13"/>
      <c r="N155" s="13"/>
    </row>
    <row r="156" spans="1:14" s="56" customFormat="1" ht="30" customHeight="1" x14ac:dyDescent="0.25">
      <c r="A156" s="30" t="s">
        <v>63</v>
      </c>
      <c r="B156" s="31"/>
      <c r="C156" s="31"/>
      <c r="D156" s="31"/>
      <c r="E156" s="55"/>
      <c r="F156" s="1"/>
      <c r="G156" s="13"/>
      <c r="H156" s="13"/>
      <c r="I156" s="13"/>
      <c r="J156" s="13"/>
      <c r="K156" s="13"/>
      <c r="L156" s="13"/>
      <c r="M156" s="13"/>
      <c r="N156" s="13"/>
    </row>
    <row r="157" spans="1:14" s="56" customFormat="1" ht="30" customHeight="1" x14ac:dyDescent="0.25">
      <c r="A157" s="61" t="s">
        <v>64</v>
      </c>
      <c r="B157" s="61"/>
      <c r="C157" s="61"/>
      <c r="D157" s="62"/>
      <c r="E157" s="63"/>
      <c r="F157" s="11"/>
      <c r="G157" s="13"/>
      <c r="H157" s="13"/>
      <c r="I157" s="13"/>
      <c r="J157" s="13"/>
      <c r="K157" s="13"/>
      <c r="L157" s="13"/>
      <c r="M157" s="13"/>
      <c r="N157" s="13"/>
    </row>
    <row r="158" spans="1:14" s="56" customFormat="1" ht="30" customHeight="1" x14ac:dyDescent="0.25">
      <c r="A158" s="61" t="s">
        <v>65</v>
      </c>
      <c r="B158" s="61"/>
      <c r="C158" s="61"/>
      <c r="D158" s="64"/>
      <c r="E158" s="63"/>
      <c r="F158" s="11"/>
      <c r="G158" s="13"/>
      <c r="H158" s="13"/>
      <c r="I158" s="13"/>
      <c r="J158" s="13"/>
      <c r="K158" s="13"/>
      <c r="L158" s="13"/>
      <c r="M158" s="13"/>
      <c r="N158" s="13"/>
    </row>
    <row r="159" spans="1:14" s="56" customFormat="1" ht="30" customHeight="1" x14ac:dyDescent="0.25">
      <c r="A159" s="61" t="s">
        <v>66</v>
      </c>
      <c r="B159" s="61"/>
      <c r="C159" s="61"/>
      <c r="D159" s="61"/>
      <c r="E159" s="63"/>
      <c r="F159" s="11"/>
      <c r="G159" s="13"/>
      <c r="H159" s="13"/>
      <c r="I159" s="13"/>
      <c r="J159" s="13"/>
      <c r="K159" s="13"/>
      <c r="L159" s="13"/>
      <c r="M159" s="13"/>
      <c r="N159" s="13"/>
    </row>
    <row r="160" spans="1:14" s="56" customFormat="1" ht="30" customHeight="1" x14ac:dyDescent="0.25">
      <c r="A160" s="61" t="s">
        <v>67</v>
      </c>
      <c r="B160" s="61"/>
      <c r="C160" s="61"/>
      <c r="D160" s="61"/>
      <c r="E160" s="63"/>
      <c r="F160" s="11"/>
      <c r="G160" s="13"/>
      <c r="H160" s="13"/>
      <c r="I160" s="13"/>
      <c r="J160" s="13"/>
      <c r="K160" s="13"/>
      <c r="L160" s="13"/>
      <c r="M160" s="13"/>
      <c r="N160" s="13"/>
    </row>
    <row r="161" spans="1:14" s="56" customFormat="1" ht="30" customHeight="1" x14ac:dyDescent="0.25">
      <c r="A161" s="61"/>
      <c r="B161" s="61"/>
      <c r="C161" s="61"/>
      <c r="D161" s="61"/>
      <c r="E161" s="63"/>
      <c r="F161" s="11"/>
      <c r="G161" s="13"/>
      <c r="H161" s="13"/>
      <c r="I161" s="13"/>
      <c r="J161" s="13"/>
      <c r="K161" s="13"/>
      <c r="L161" s="13"/>
      <c r="M161" s="13"/>
      <c r="N161" s="13"/>
    </row>
    <row r="162" spans="1:14" s="56" customFormat="1" ht="30" customHeight="1" x14ac:dyDescent="0.25">
      <c r="A162" s="30" t="s">
        <v>68</v>
      </c>
      <c r="B162" s="31"/>
      <c r="C162" s="31"/>
      <c r="D162" s="31"/>
      <c r="E162" s="55"/>
      <c r="F162" s="1"/>
      <c r="G162" s="13"/>
      <c r="H162" s="13"/>
      <c r="I162" s="13"/>
      <c r="J162" s="13"/>
      <c r="K162" s="13"/>
      <c r="L162" s="13"/>
      <c r="M162" s="13"/>
      <c r="N162" s="13"/>
    </row>
    <row r="163" spans="1:14" s="56" customFormat="1" ht="30" customHeight="1" x14ac:dyDescent="0.25">
      <c r="A163" s="30"/>
      <c r="B163" s="31"/>
      <c r="C163" s="31"/>
      <c r="D163" s="31"/>
      <c r="E163" s="55"/>
      <c r="F163" s="1"/>
      <c r="G163" s="13"/>
      <c r="H163" s="13"/>
      <c r="I163" s="13"/>
      <c r="J163" s="13"/>
      <c r="K163" s="13"/>
      <c r="L163" s="13"/>
      <c r="M163" s="13"/>
      <c r="N163" s="13"/>
    </row>
    <row r="164" spans="1:14" s="56" customFormat="1" ht="30" customHeight="1" x14ac:dyDescent="0.25">
      <c r="A164" s="30"/>
      <c r="B164" s="31"/>
      <c r="C164" s="31"/>
      <c r="D164" s="31"/>
      <c r="E164" s="55"/>
      <c r="F164" s="1"/>
      <c r="G164" s="13"/>
      <c r="H164" s="13"/>
      <c r="I164" s="13"/>
      <c r="J164" s="13"/>
      <c r="K164" s="13"/>
      <c r="L164" s="13"/>
      <c r="M164" s="13"/>
      <c r="N164" s="13"/>
    </row>
    <row r="165" spans="1:14" s="56" customFormat="1" ht="30" customHeight="1" x14ac:dyDescent="0.25">
      <c r="A165" s="30"/>
      <c r="B165" s="31"/>
      <c r="C165" s="31"/>
      <c r="D165" s="31"/>
      <c r="E165" s="55"/>
      <c r="F165" s="1"/>
      <c r="G165" s="13"/>
      <c r="H165" s="13"/>
      <c r="I165" s="13"/>
      <c r="J165" s="13"/>
      <c r="K165" s="13"/>
      <c r="L165" s="13"/>
      <c r="M165" s="13"/>
      <c r="N165" s="13"/>
    </row>
    <row r="166" spans="1:14" s="56" customFormat="1" ht="30" customHeight="1" x14ac:dyDescent="0.25">
      <c r="A166" s="30"/>
      <c r="B166" s="31"/>
      <c r="C166" s="31"/>
      <c r="D166" s="31"/>
      <c r="E166" s="55"/>
      <c r="F166" s="1"/>
      <c r="G166" s="13"/>
      <c r="H166" s="13"/>
      <c r="I166" s="13"/>
      <c r="J166" s="13"/>
      <c r="K166" s="13"/>
      <c r="L166" s="13"/>
      <c r="M166" s="13"/>
      <c r="N166" s="13"/>
    </row>
    <row r="167" spans="1:14" ht="30" customHeight="1" x14ac:dyDescent="0.25">
      <c r="A167" s="30"/>
      <c r="B167" s="31"/>
      <c r="C167" s="31"/>
      <c r="D167" s="31"/>
      <c r="E167" s="55"/>
    </row>
    <row r="168" spans="1:14" ht="30" customHeight="1" x14ac:dyDescent="0.25">
      <c r="A168" s="30"/>
      <c r="B168" s="31"/>
      <c r="C168" s="31"/>
      <c r="D168" s="31"/>
      <c r="E168" s="55"/>
    </row>
    <row r="169" spans="1:14" ht="30" customHeight="1" x14ac:dyDescent="0.25">
      <c r="A169" s="30"/>
      <c r="B169" s="31"/>
      <c r="C169" s="31"/>
      <c r="D169" s="31"/>
      <c r="E169" s="55"/>
    </row>
    <row r="170" spans="1:14" ht="30" customHeight="1" x14ac:dyDescent="0.25">
      <c r="A170" s="30"/>
      <c r="B170" s="31"/>
      <c r="C170" s="31"/>
      <c r="D170" s="31"/>
      <c r="E170" s="55"/>
    </row>
    <row r="171" spans="1:14" ht="30" customHeight="1" x14ac:dyDescent="0.25">
      <c r="A171" s="30"/>
      <c r="B171" s="31"/>
      <c r="C171" s="31"/>
      <c r="D171" s="31"/>
      <c r="E171" s="55"/>
    </row>
    <row r="172" spans="1:14" ht="30" customHeight="1" x14ac:dyDescent="0.25">
      <c r="A172" s="30"/>
      <c r="B172" s="31"/>
      <c r="C172" s="31"/>
      <c r="D172" s="31"/>
      <c r="E172" s="55"/>
    </row>
    <row r="173" spans="1:14" ht="30" customHeight="1" x14ac:dyDescent="0.25">
      <c r="A173" s="30"/>
      <c r="B173" s="31"/>
      <c r="C173" s="31"/>
      <c r="D173" s="31"/>
      <c r="E173" s="55"/>
    </row>
    <row r="174" spans="1:14" ht="30" customHeight="1" x14ac:dyDescent="0.25">
      <c r="A174" s="30"/>
      <c r="B174" s="31"/>
      <c r="C174" s="31"/>
      <c r="D174" s="31"/>
      <c r="E174" s="55"/>
    </row>
    <row r="175" spans="1:14" ht="30" customHeight="1" thickBot="1" x14ac:dyDescent="0.3">
      <c r="A175" s="187"/>
      <c r="B175" s="187"/>
      <c r="C175" s="187"/>
      <c r="D175" s="187"/>
      <c r="E175" s="187"/>
      <c r="F175" s="187"/>
    </row>
    <row r="176" spans="1:14" s="11" customFormat="1" ht="38.25" customHeight="1" thickBot="1" x14ac:dyDescent="0.3">
      <c r="A176" s="188" t="s">
        <v>69</v>
      </c>
      <c r="B176" s="189"/>
      <c r="C176" s="189"/>
      <c r="D176" s="189"/>
      <c r="E176" s="189"/>
      <c r="F176" s="190"/>
    </row>
    <row r="177" spans="1:6" s="11" customFormat="1" ht="38.25" customHeight="1" thickBot="1" x14ac:dyDescent="0.3">
      <c r="A177" s="176" t="s">
        <v>70</v>
      </c>
      <c r="B177" s="177"/>
      <c r="C177" s="177"/>
      <c r="D177" s="178"/>
      <c r="E177" s="181">
        <f>E108</f>
        <v>85788931.599999994</v>
      </c>
      <c r="F177" s="182"/>
    </row>
    <row r="178" spans="1:6" s="11" customFormat="1" ht="38.25" customHeight="1" thickBot="1" x14ac:dyDescent="0.3">
      <c r="A178" s="176" t="s">
        <v>71</v>
      </c>
      <c r="B178" s="177"/>
      <c r="C178" s="177"/>
      <c r="D178" s="178"/>
      <c r="E178" s="181">
        <f>C150+D150</f>
        <v>81559004.470000014</v>
      </c>
      <c r="F178" s="182"/>
    </row>
    <row r="179" spans="1:6" s="11" customFormat="1" ht="38.25" customHeight="1" thickBot="1" x14ac:dyDescent="0.3">
      <c r="A179" s="176" t="s">
        <v>72</v>
      </c>
      <c r="B179" s="177"/>
      <c r="C179" s="177"/>
      <c r="D179" s="178"/>
      <c r="E179" s="183">
        <f>E105-(E178-E107)</f>
        <v>4229927.1299999803</v>
      </c>
      <c r="F179" s="184"/>
    </row>
    <row r="180" spans="1:6" s="11" customFormat="1" ht="38.25" customHeight="1" thickBot="1" x14ac:dyDescent="0.3">
      <c r="A180" s="176" t="s">
        <v>73</v>
      </c>
      <c r="B180" s="177"/>
      <c r="C180" s="177"/>
      <c r="D180" s="178"/>
      <c r="E180" s="179">
        <v>0</v>
      </c>
      <c r="F180" s="180"/>
    </row>
    <row r="181" spans="1:6" s="11" customFormat="1" ht="38.25" customHeight="1" thickBot="1" x14ac:dyDescent="0.3">
      <c r="A181" s="176" t="s">
        <v>74</v>
      </c>
      <c r="B181" s="177"/>
      <c r="C181" s="177"/>
      <c r="D181" s="178"/>
      <c r="E181" s="181">
        <f>E179-E180</f>
        <v>4229927.1299999803</v>
      </c>
      <c r="F181" s="182"/>
    </row>
    <row r="182" spans="1:6" ht="30" customHeight="1" x14ac:dyDescent="0.25">
      <c r="A182" s="34"/>
      <c r="B182" s="33"/>
      <c r="C182" s="33"/>
      <c r="D182" s="33"/>
    </row>
    <row r="183" spans="1:6" ht="30" customHeight="1" x14ac:dyDescent="0.25">
      <c r="A183" s="200" t="s">
        <v>75</v>
      </c>
      <c r="B183" s="200"/>
      <c r="C183" s="200"/>
      <c r="D183" s="200"/>
      <c r="E183" s="200"/>
      <c r="F183" s="200"/>
    </row>
    <row r="184" spans="1:6" ht="30" customHeight="1" x14ac:dyDescent="0.25">
      <c r="A184" s="200"/>
      <c r="B184" s="200"/>
      <c r="C184" s="200"/>
      <c r="D184" s="200"/>
      <c r="E184" s="200"/>
      <c r="F184" s="200"/>
    </row>
    <row r="185" spans="1:6" ht="30" customHeight="1" x14ac:dyDescent="0.25">
      <c r="A185" s="65"/>
      <c r="B185" s="65"/>
      <c r="C185" s="65"/>
      <c r="D185" s="65"/>
      <c r="E185" s="65"/>
      <c r="F185" s="65"/>
    </row>
    <row r="186" spans="1:6" ht="30" customHeight="1" x14ac:dyDescent="0.25">
      <c r="A186" s="65"/>
      <c r="B186" s="65"/>
      <c r="C186" s="65"/>
      <c r="D186" s="65"/>
      <c r="E186" s="65"/>
      <c r="F186" s="65"/>
    </row>
    <row r="187" spans="1:6" ht="30" customHeight="1" x14ac:dyDescent="0.25">
      <c r="A187" s="65"/>
      <c r="B187" s="65"/>
      <c r="C187" s="65"/>
      <c r="D187" s="65"/>
      <c r="E187" s="65"/>
      <c r="F187" s="65"/>
    </row>
    <row r="188" spans="1:6" ht="30" customHeight="1" x14ac:dyDescent="0.25">
      <c r="A188" s="65"/>
      <c r="B188" s="65"/>
      <c r="C188" s="65"/>
      <c r="D188" s="65"/>
      <c r="E188" s="65"/>
      <c r="F188" s="65"/>
    </row>
    <row r="189" spans="1:6" ht="30" customHeight="1" x14ac:dyDescent="0.25">
      <c r="A189" s="66"/>
      <c r="B189" s="67"/>
      <c r="C189" s="67"/>
      <c r="D189" s="67"/>
      <c r="E189" s="68"/>
      <c r="F189" s="11"/>
    </row>
    <row r="190" spans="1:6" ht="30" customHeight="1" x14ac:dyDescent="0.25">
      <c r="A190" s="69" t="s">
        <v>95</v>
      </c>
      <c r="B190" s="70"/>
      <c r="C190" s="70"/>
      <c r="D190" s="70"/>
      <c r="E190" s="71"/>
      <c r="F190" s="72"/>
    </row>
    <row r="191" spans="1:6" ht="30" customHeight="1" x14ac:dyDescent="0.25">
      <c r="A191" s="69"/>
      <c r="B191" s="70"/>
      <c r="C191" s="70"/>
      <c r="D191" s="70"/>
      <c r="E191" s="71"/>
      <c r="F191" s="72"/>
    </row>
    <row r="192" spans="1:6" ht="30" customHeight="1" x14ac:dyDescent="0.25">
      <c r="A192" s="69"/>
      <c r="B192" s="70"/>
      <c r="C192" s="70"/>
      <c r="D192" s="70"/>
      <c r="E192" s="71"/>
      <c r="F192" s="72"/>
    </row>
    <row r="193" spans="1:6" ht="30" customHeight="1" x14ac:dyDescent="0.25">
      <c r="A193" s="69"/>
      <c r="B193" s="70"/>
      <c r="C193" s="70"/>
      <c r="D193" s="70"/>
      <c r="E193" s="71"/>
      <c r="F193" s="72"/>
    </row>
    <row r="194" spans="1:6" ht="30" customHeight="1" x14ac:dyDescent="0.25">
      <c r="A194" s="69"/>
      <c r="B194" s="70"/>
      <c r="C194" s="70"/>
      <c r="D194" s="70"/>
      <c r="E194" s="71"/>
      <c r="F194" s="72"/>
    </row>
    <row r="195" spans="1:6" ht="30" customHeight="1" x14ac:dyDescent="0.25">
      <c r="A195" s="69"/>
      <c r="B195" s="70"/>
      <c r="C195" s="70"/>
      <c r="D195" s="70"/>
      <c r="E195" s="71"/>
      <c r="F195" s="72"/>
    </row>
    <row r="196" spans="1:6" s="76" customFormat="1" ht="30" customHeight="1" x14ac:dyDescent="0.4">
      <c r="B196" s="75" t="s">
        <v>232</v>
      </c>
      <c r="C196" s="5"/>
      <c r="D196" s="75" t="s">
        <v>235</v>
      </c>
    </row>
    <row r="197" spans="1:6" s="76" customFormat="1" ht="30" customHeight="1" x14ac:dyDescent="0.4">
      <c r="B197" s="74" t="s">
        <v>233</v>
      </c>
      <c r="C197" s="5"/>
      <c r="E197" s="150" t="s">
        <v>234</v>
      </c>
    </row>
    <row r="198" spans="1:6" s="77" customFormat="1" ht="30" customHeight="1" x14ac:dyDescent="0.4">
      <c r="B198" s="78"/>
      <c r="C198" s="78"/>
      <c r="D198" s="78"/>
      <c r="E198" s="78"/>
      <c r="F198" s="6"/>
    </row>
    <row r="199" spans="1:6" s="77" customFormat="1" ht="30" x14ac:dyDescent="0.4">
      <c r="B199" s="78"/>
      <c r="C199" s="78"/>
      <c r="D199" s="78"/>
      <c r="E199" s="78"/>
      <c r="F199" s="6"/>
    </row>
    <row r="200" spans="1:6" s="77" customFormat="1" ht="30" x14ac:dyDescent="0.4">
      <c r="B200" s="78"/>
      <c r="C200" s="78"/>
      <c r="D200" s="78"/>
      <c r="E200" s="78"/>
      <c r="F200" s="6"/>
    </row>
    <row r="201" spans="1:6" s="77" customFormat="1" ht="30" x14ac:dyDescent="0.4">
      <c r="B201" s="78"/>
      <c r="C201" s="78"/>
      <c r="D201" s="78"/>
      <c r="E201" s="78"/>
      <c r="F201" s="6"/>
    </row>
    <row r="202" spans="1:6" s="77" customFormat="1" ht="30" x14ac:dyDescent="0.4">
      <c r="B202" s="78"/>
      <c r="C202" s="78"/>
      <c r="D202" s="78"/>
      <c r="E202" s="78"/>
      <c r="F202" s="6"/>
    </row>
    <row r="203" spans="1:6" s="77" customFormat="1" ht="30" x14ac:dyDescent="0.4">
      <c r="B203" s="78"/>
      <c r="C203" s="80" t="s">
        <v>76</v>
      </c>
      <c r="E203" s="78"/>
      <c r="F203" s="6"/>
    </row>
    <row r="204" spans="1:6" s="77" customFormat="1" ht="30" x14ac:dyDescent="0.4">
      <c r="C204" s="201" t="s">
        <v>77</v>
      </c>
      <c r="D204" s="201"/>
      <c r="F204" s="6"/>
    </row>
    <row r="205" spans="1:6" s="77" customFormat="1" ht="30" x14ac:dyDescent="0.4">
      <c r="B205" s="79"/>
      <c r="F205" s="6"/>
    </row>
    <row r="206" spans="1:6" s="77" customFormat="1" ht="30" x14ac:dyDescent="0.4">
      <c r="B206" s="79"/>
      <c r="E206" s="78"/>
      <c r="F206" s="6"/>
    </row>
    <row r="211" spans="1:14" x14ac:dyDescent="0.25">
      <c r="E211" s="32"/>
    </row>
    <row r="214" spans="1:14" ht="30" x14ac:dyDescent="0.25">
      <c r="A214" s="81"/>
      <c r="B214" s="13"/>
      <c r="C214" s="13"/>
      <c r="D214" s="13"/>
      <c r="E214" s="11"/>
    </row>
    <row r="215" spans="1:14" ht="30" x14ac:dyDescent="0.25">
      <c r="A215" s="81"/>
      <c r="B215" s="13"/>
      <c r="C215" s="13"/>
      <c r="D215" s="13"/>
      <c r="E215" s="11"/>
    </row>
    <row r="218" spans="1:14" s="56" customFormat="1" ht="48.75" customHeight="1" x14ac:dyDescent="0.25">
      <c r="A218" s="14"/>
      <c r="B218" s="13"/>
      <c r="C218" s="13"/>
      <c r="D218" s="13"/>
      <c r="E218" s="11"/>
      <c r="F218" s="1"/>
      <c r="G218" s="13"/>
      <c r="H218" s="13"/>
      <c r="I218" s="13"/>
      <c r="J218" s="13"/>
      <c r="K218" s="13"/>
      <c r="L218" s="13"/>
      <c r="M218" s="13"/>
      <c r="N218" s="13"/>
    </row>
    <row r="219" spans="1:14" s="56" customFormat="1" ht="48.75" customHeight="1" x14ac:dyDescent="0.25">
      <c r="A219" s="14"/>
      <c r="B219" s="13"/>
      <c r="C219" s="13"/>
      <c r="D219" s="13"/>
      <c r="E219" s="11"/>
      <c r="F219" s="1"/>
      <c r="G219" s="13"/>
      <c r="H219" s="13"/>
      <c r="I219" s="13"/>
      <c r="J219" s="13"/>
      <c r="K219" s="13"/>
      <c r="L219" s="13"/>
      <c r="M219" s="13"/>
      <c r="N219" s="13"/>
    </row>
    <row r="225" spans="1:14" s="56" customFormat="1" ht="27" x14ac:dyDescent="0.25">
      <c r="A225" s="14"/>
      <c r="B225" s="13"/>
      <c r="C225" s="13"/>
      <c r="D225" s="13"/>
      <c r="E225" s="11"/>
      <c r="F225" s="7"/>
      <c r="G225" s="13"/>
      <c r="H225" s="13"/>
      <c r="I225" s="13"/>
      <c r="J225" s="13"/>
      <c r="K225" s="13"/>
      <c r="L225" s="13"/>
      <c r="M225" s="13"/>
      <c r="N225" s="13"/>
    </row>
    <row r="226" spans="1:14" s="56" customFormat="1" ht="27" x14ac:dyDescent="0.25">
      <c r="A226" s="13"/>
      <c r="B226" s="13"/>
      <c r="C226" s="13"/>
      <c r="D226" s="13"/>
      <c r="E226" s="11"/>
      <c r="F226" s="8"/>
      <c r="G226" s="13"/>
      <c r="H226" s="13"/>
      <c r="I226" s="13"/>
      <c r="J226" s="13"/>
      <c r="K226" s="13"/>
      <c r="L226" s="13"/>
      <c r="M226" s="13"/>
      <c r="N226" s="13"/>
    </row>
    <row r="228" spans="1:14" s="56" customFormat="1" ht="30" x14ac:dyDescent="0.25">
      <c r="A228" s="13"/>
      <c r="B228" s="81"/>
      <c r="C228" s="81"/>
      <c r="D228" s="81"/>
      <c r="E228" s="82"/>
      <c r="F228" s="1"/>
      <c r="G228" s="13"/>
      <c r="H228" s="13"/>
      <c r="I228" s="13"/>
      <c r="J228" s="13"/>
      <c r="K228" s="13"/>
      <c r="L228" s="13"/>
      <c r="M228" s="13"/>
      <c r="N228" s="13"/>
    </row>
    <row r="229" spans="1:14" s="56" customFormat="1" ht="30" x14ac:dyDescent="0.25">
      <c r="A229" s="13"/>
      <c r="B229" s="81"/>
      <c r="C229" s="83"/>
      <c r="D229" s="84"/>
      <c r="E229" s="44"/>
      <c r="F229" s="1"/>
      <c r="G229" s="13"/>
      <c r="H229" s="13"/>
      <c r="I229" s="13"/>
      <c r="J229" s="13"/>
      <c r="K229" s="13"/>
      <c r="L229" s="13"/>
      <c r="M229" s="13"/>
      <c r="N229" s="13"/>
    </row>
    <row r="232" spans="1:14" s="1" customFormat="1" ht="30" x14ac:dyDescent="0.25">
      <c r="A232" s="13"/>
      <c r="B232" s="199"/>
      <c r="C232" s="199"/>
      <c r="D232" s="81"/>
      <c r="E232" s="82"/>
      <c r="G232" s="13"/>
      <c r="H232" s="13"/>
      <c r="I232" s="13"/>
      <c r="J232" s="13"/>
      <c r="K232" s="13"/>
      <c r="L232" s="13"/>
      <c r="M232" s="13"/>
      <c r="N232" s="13"/>
    </row>
    <row r="233" spans="1:14" s="1" customFormat="1" ht="30" x14ac:dyDescent="0.25">
      <c r="A233" s="13"/>
      <c r="B233" s="199"/>
      <c r="C233" s="199"/>
      <c r="D233" s="199"/>
      <c r="E233" s="199"/>
      <c r="G233" s="13"/>
      <c r="H233" s="13"/>
      <c r="I233" s="13"/>
      <c r="J233" s="13"/>
      <c r="K233" s="13"/>
      <c r="L233" s="13"/>
      <c r="M233" s="13"/>
      <c r="N233" s="13"/>
    </row>
    <row r="239" spans="1:14" s="1" customFormat="1" ht="30" x14ac:dyDescent="0.25">
      <c r="A239" s="13"/>
      <c r="B239" s="199"/>
      <c r="C239" s="199"/>
      <c r="D239" s="81"/>
      <c r="E239" s="82"/>
      <c r="G239" s="13"/>
      <c r="H239" s="13"/>
      <c r="I239" s="13"/>
      <c r="J239" s="13"/>
      <c r="K239" s="13"/>
      <c r="L239" s="13"/>
      <c r="M239" s="13"/>
      <c r="N239" s="13"/>
    </row>
    <row r="240" spans="1:14" s="1" customFormat="1" ht="30" x14ac:dyDescent="0.25">
      <c r="A240" s="13"/>
      <c r="B240" s="199"/>
      <c r="C240" s="199"/>
      <c r="D240" s="83"/>
      <c r="E240" s="39"/>
      <c r="G240" s="13"/>
      <c r="H240" s="13"/>
      <c r="I240" s="13"/>
      <c r="J240" s="13"/>
      <c r="K240" s="13"/>
      <c r="L240" s="13"/>
      <c r="M240" s="13"/>
      <c r="N240" s="13"/>
    </row>
  </sheetData>
  <sheetProtection algorithmName="SHA-512" hashValue="nTMbn5gbhv7CLIEwfQWO0Wk/eXlj+pLs6jA6Onu8+ovXM/i0GIRoKtg4F9chrIyI9NnD0cZSY+WgBfMyNMxY4w==" saltValue="C6OdGlxl5vtGEWvSphXWAQ==" spinCount="100000" sheet="1" objects="1" scenarios="1" selectLockedCells="1" selectUnlockedCells="1"/>
  <mergeCells count="120">
    <mergeCell ref="E44:F44"/>
    <mergeCell ref="A97:A100"/>
    <mergeCell ref="B97:B100"/>
    <mergeCell ref="E97:F100"/>
    <mergeCell ref="A80:A81"/>
    <mergeCell ref="B80:B81"/>
    <mergeCell ref="E80:F81"/>
    <mergeCell ref="E62:F67"/>
    <mergeCell ref="B62:B67"/>
    <mergeCell ref="A69:A71"/>
    <mergeCell ref="B69:B71"/>
    <mergeCell ref="E69:F71"/>
    <mergeCell ref="A72:A75"/>
    <mergeCell ref="B72:B75"/>
    <mergeCell ref="B82:B90"/>
    <mergeCell ref="E82:F90"/>
    <mergeCell ref="E68:F68"/>
    <mergeCell ref="E91:F91"/>
    <mergeCell ref="A62:A68"/>
    <mergeCell ref="A82:A91"/>
    <mergeCell ref="A7:E7"/>
    <mergeCell ref="A8:E8"/>
    <mergeCell ref="A9:F9"/>
    <mergeCell ref="A10:F10"/>
    <mergeCell ref="A24:B24"/>
    <mergeCell ref="E24:F24"/>
    <mergeCell ref="A38:B38"/>
    <mergeCell ref="E38:F38"/>
    <mergeCell ref="A27:B27"/>
    <mergeCell ref="E27:F27"/>
    <mergeCell ref="A26:B26"/>
    <mergeCell ref="E26:F26"/>
    <mergeCell ref="A18:F20"/>
    <mergeCell ref="E34:F34"/>
    <mergeCell ref="A34:B34"/>
    <mergeCell ref="A32:B32"/>
    <mergeCell ref="E32:F32"/>
    <mergeCell ref="A25:B25"/>
    <mergeCell ref="E25:F25"/>
    <mergeCell ref="A28:B28"/>
    <mergeCell ref="E28:F28"/>
    <mergeCell ref="A29:B29"/>
    <mergeCell ref="E29:F29"/>
    <mergeCell ref="A30:B30"/>
    <mergeCell ref="E30:F30"/>
    <mergeCell ref="A43:F43"/>
    <mergeCell ref="A31:B31"/>
    <mergeCell ref="E31:F31"/>
    <mergeCell ref="A33:B33"/>
    <mergeCell ref="E33:F33"/>
    <mergeCell ref="A35:B35"/>
    <mergeCell ref="E35:F35"/>
    <mergeCell ref="A36:B36"/>
    <mergeCell ref="E36:F36"/>
    <mergeCell ref="A37:B37"/>
    <mergeCell ref="E37:F37"/>
    <mergeCell ref="A40:B40"/>
    <mergeCell ref="E40:F40"/>
    <mergeCell ref="A41:B41"/>
    <mergeCell ref="E41:F41"/>
    <mergeCell ref="A39:B39"/>
    <mergeCell ref="E39:F39"/>
    <mergeCell ref="A42:B42"/>
    <mergeCell ref="E42:F42"/>
    <mergeCell ref="A107:D107"/>
    <mergeCell ref="E107:F107"/>
    <mergeCell ref="A101:D101"/>
    <mergeCell ref="E101:F101"/>
    <mergeCell ref="E45:F48"/>
    <mergeCell ref="A45:A48"/>
    <mergeCell ref="B45:B48"/>
    <mergeCell ref="A49:A50"/>
    <mergeCell ref="B49:B50"/>
    <mergeCell ref="E49:F50"/>
    <mergeCell ref="A51:A57"/>
    <mergeCell ref="B51:B57"/>
    <mergeCell ref="E51:F57"/>
    <mergeCell ref="A58:A61"/>
    <mergeCell ref="B58:B61"/>
    <mergeCell ref="E58:F61"/>
    <mergeCell ref="E72:F75"/>
    <mergeCell ref="A76:A79"/>
    <mergeCell ref="B76:B79"/>
    <mergeCell ref="E76:F79"/>
    <mergeCell ref="A92:A96"/>
    <mergeCell ref="B92:B96"/>
    <mergeCell ref="E92:F96"/>
    <mergeCell ref="A102:D102"/>
    <mergeCell ref="B240:C240"/>
    <mergeCell ref="A181:D181"/>
    <mergeCell ref="E181:F181"/>
    <mergeCell ref="A183:F184"/>
    <mergeCell ref="C204:D204"/>
    <mergeCell ref="B232:C232"/>
    <mergeCell ref="B233:C233"/>
    <mergeCell ref="D233:E233"/>
    <mergeCell ref="B239:C239"/>
    <mergeCell ref="A180:D180"/>
    <mergeCell ref="E180:F180"/>
    <mergeCell ref="A178:D178"/>
    <mergeCell ref="A177:D177"/>
    <mergeCell ref="E177:F177"/>
    <mergeCell ref="E178:F178"/>
    <mergeCell ref="A179:D179"/>
    <mergeCell ref="E179:F179"/>
    <mergeCell ref="E102:F102"/>
    <mergeCell ref="A103:D103"/>
    <mergeCell ref="E103:F103"/>
    <mergeCell ref="A104:D104"/>
    <mergeCell ref="E104:F104"/>
    <mergeCell ref="A175:F175"/>
    <mergeCell ref="A176:F176"/>
    <mergeCell ref="A108:D108"/>
    <mergeCell ref="E108:F108"/>
    <mergeCell ref="A111:C111"/>
    <mergeCell ref="A119:F120"/>
    <mergeCell ref="A125:F125"/>
    <mergeCell ref="A105:D105"/>
    <mergeCell ref="E105:F105"/>
    <mergeCell ref="A106:F106"/>
  </mergeCells>
  <printOptions horizontalCentered="1"/>
  <pageMargins left="0.39370078740157483" right="0.39370078740157483" top="0.39370078740157483" bottom="0.39370078740157483" header="0.11811023622047245" footer="0.51181102362204722"/>
  <pageSetup paperSize="9" scale="36" fitToHeight="0" orientation="portrait" r:id="rId1"/>
  <rowBreaks count="2" manualBreakCount="2">
    <brk id="115" max="5" man="1"/>
    <brk id="172"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179"/>
  <sheetViews>
    <sheetView zoomScale="50" zoomScaleNormal="50" zoomScaleSheetLayoutView="50" workbookViewId="0">
      <selection activeCell="B3" sqref="B3"/>
    </sheetView>
  </sheetViews>
  <sheetFormatPr defaultColWidth="0" defaultRowHeight="27.75" x14ac:dyDescent="0.25"/>
  <cols>
    <col min="1" max="1" width="44.140625" style="14" customWidth="1"/>
    <col min="2" max="2" width="48.42578125" style="15" customWidth="1"/>
    <col min="3" max="4" width="44.140625" style="15" customWidth="1"/>
    <col min="5" max="5" width="44.140625" style="16" customWidth="1"/>
    <col min="6" max="6" width="44.140625" style="1" customWidth="1"/>
    <col min="7" max="7" width="37.42578125" style="85" customWidth="1"/>
    <col min="8" max="8" width="18.85546875" style="13" customWidth="1"/>
    <col min="9" max="14" width="9.140625" style="13" customWidth="1"/>
    <col min="15" max="15" width="1.7109375" style="13" customWidth="1"/>
    <col min="16" max="27" width="9.140625" style="13" customWidth="1"/>
    <col min="28" max="28" width="1.42578125" style="13" customWidth="1"/>
    <col min="29" max="51" width="9.140625" style="13" customWidth="1"/>
    <col min="52" max="52" width="1.28515625" style="13" customWidth="1"/>
    <col min="53" max="73" width="9.140625" style="13" customWidth="1"/>
    <col min="74" max="74" width="1.28515625" style="13" customWidth="1"/>
    <col min="75" max="92" width="9.140625" style="13" customWidth="1"/>
    <col min="93" max="93" width="0.42578125" style="13" customWidth="1"/>
    <col min="94" max="94" width="1.140625" style="13" customWidth="1"/>
    <col min="95" max="117" width="9.140625" style="13" customWidth="1"/>
    <col min="118" max="118" width="1.7109375" style="13" customWidth="1"/>
    <col min="119" max="164" width="9.140625" style="13" customWidth="1"/>
    <col min="165" max="165" width="3.42578125" style="13" customWidth="1"/>
    <col min="166" max="188" width="9.140625" style="13" customWidth="1"/>
    <col min="189" max="189" width="2" style="13" customWidth="1"/>
    <col min="190" max="190" width="8" style="13" customWidth="1"/>
    <col min="191" max="195" width="9.140625" style="13" customWidth="1"/>
    <col min="196" max="196" width="8.7109375" style="13" customWidth="1"/>
    <col min="197" max="205" width="9.140625" style="13" customWidth="1"/>
    <col min="206" max="206" width="3.7109375" style="13" customWidth="1"/>
    <col min="207" max="208" width="9.140625" style="13" customWidth="1"/>
    <col min="209" max="209" width="2" style="13" customWidth="1"/>
    <col min="210" max="210" width="8" style="13" customWidth="1"/>
    <col min="211" max="215" width="9.140625" style="13" customWidth="1"/>
    <col min="216" max="216" width="8.7109375" style="13" customWidth="1"/>
    <col min="217" max="225" width="9.140625" style="13" customWidth="1"/>
    <col min="226" max="226" width="3.7109375" style="13" customWidth="1"/>
    <col min="227" max="228" width="9.140625" style="13" customWidth="1"/>
    <col min="229" max="229" width="2" style="13" customWidth="1"/>
    <col min="230" max="230" width="8" style="13" customWidth="1"/>
    <col min="231" max="235" width="9.140625" style="13" customWidth="1"/>
    <col min="236" max="236" width="8.7109375" style="13" customWidth="1"/>
    <col min="237" max="245" width="9.140625" style="13" customWidth="1"/>
    <col min="246" max="246" width="3.7109375" style="13" customWidth="1"/>
    <col min="247" max="247" width="9.140625" style="13" customWidth="1"/>
    <col min="248" max="254" width="0" style="13" hidden="1" customWidth="1"/>
    <col min="255" max="16384" width="9.140625" style="13" hidden="1"/>
  </cols>
  <sheetData>
    <row r="1" spans="1:7" ht="30" customHeight="1" x14ac:dyDescent="0.25">
      <c r="A1" s="187"/>
      <c r="B1" s="187"/>
      <c r="C1" s="187"/>
      <c r="D1" s="187"/>
      <c r="E1" s="187"/>
      <c r="F1" s="11"/>
    </row>
    <row r="2" spans="1:7" ht="30" customHeight="1" x14ac:dyDescent="0.25">
      <c r="A2" s="156"/>
      <c r="B2" s="156"/>
      <c r="C2" s="156"/>
      <c r="D2" s="156"/>
      <c r="E2" s="156"/>
      <c r="F2" s="11"/>
    </row>
    <row r="3" spans="1:7" ht="30" customHeight="1" x14ac:dyDescent="0.25">
      <c r="A3" s="156"/>
      <c r="B3" s="156"/>
      <c r="C3" s="156"/>
      <c r="D3" s="156"/>
      <c r="E3" s="156"/>
      <c r="F3" s="11"/>
    </row>
    <row r="4" spans="1:7" ht="30" customHeight="1" x14ac:dyDescent="0.25">
      <c r="A4" s="156"/>
      <c r="B4" s="156"/>
      <c r="C4" s="156"/>
      <c r="D4" s="156"/>
      <c r="E4" s="156"/>
      <c r="F4" s="11"/>
    </row>
    <row r="5" spans="1:7" ht="30" customHeight="1" x14ac:dyDescent="0.25">
      <c r="A5" s="156"/>
      <c r="B5" s="156"/>
      <c r="C5" s="156"/>
      <c r="D5" s="156"/>
      <c r="E5" s="156"/>
      <c r="F5" s="11"/>
    </row>
    <row r="6" spans="1:7" ht="30" customHeight="1" x14ac:dyDescent="0.25">
      <c r="A6" s="156"/>
      <c r="B6" s="156"/>
      <c r="C6" s="156"/>
      <c r="D6" s="156"/>
      <c r="E6" s="156"/>
      <c r="F6" s="11"/>
    </row>
    <row r="7" spans="1:7" ht="30" customHeight="1" x14ac:dyDescent="0.25">
      <c r="A7" s="156"/>
      <c r="B7" s="156"/>
      <c r="C7" s="156"/>
      <c r="D7" s="156"/>
      <c r="E7" s="156"/>
      <c r="F7" s="11"/>
    </row>
    <row r="8" spans="1:7" ht="30" customHeight="1" x14ac:dyDescent="0.25">
      <c r="A8" s="187"/>
      <c r="B8" s="187"/>
      <c r="C8" s="187"/>
      <c r="D8" s="187"/>
      <c r="E8" s="187"/>
      <c r="F8" s="11"/>
    </row>
    <row r="9" spans="1:7" ht="30" customHeight="1" x14ac:dyDescent="0.25">
      <c r="A9" s="217" t="s">
        <v>92</v>
      </c>
      <c r="B9" s="217"/>
      <c r="C9" s="217"/>
      <c r="D9" s="217"/>
      <c r="E9" s="217"/>
      <c r="F9" s="217"/>
    </row>
    <row r="10" spans="1:7" ht="30" customHeight="1" x14ac:dyDescent="0.25">
      <c r="A10" s="217" t="s">
        <v>1</v>
      </c>
      <c r="B10" s="217"/>
      <c r="C10" s="217"/>
      <c r="D10" s="217"/>
      <c r="E10" s="217"/>
      <c r="F10" s="217"/>
    </row>
    <row r="11" spans="1:7" ht="30" customHeight="1" x14ac:dyDescent="0.25"/>
    <row r="12" spans="1:7" s="11" customFormat="1" ht="30" customHeight="1" x14ac:dyDescent="0.25">
      <c r="A12" s="157" t="s">
        <v>86</v>
      </c>
      <c r="B12" s="18"/>
      <c r="C12" s="18"/>
      <c r="D12" s="18"/>
      <c r="E12" s="18"/>
      <c r="G12" s="85"/>
    </row>
    <row r="13" spans="1:7" s="11" customFormat="1" ht="30" customHeight="1" x14ac:dyDescent="0.25">
      <c r="A13" s="157" t="s">
        <v>87</v>
      </c>
      <c r="B13" s="18"/>
      <c r="C13" s="18"/>
      <c r="D13" s="18"/>
      <c r="E13" s="18"/>
      <c r="G13" s="85"/>
    </row>
    <row r="14" spans="1:7" s="11" customFormat="1" ht="30" customHeight="1" x14ac:dyDescent="0.25">
      <c r="A14" s="157" t="s">
        <v>88</v>
      </c>
      <c r="B14" s="18"/>
      <c r="C14" s="18"/>
      <c r="D14" s="18"/>
      <c r="E14" s="18"/>
      <c r="G14" s="85"/>
    </row>
    <row r="15" spans="1:7" s="11" customFormat="1" ht="30" customHeight="1" x14ac:dyDescent="0.25">
      <c r="A15" s="157" t="s">
        <v>89</v>
      </c>
      <c r="B15" s="18"/>
      <c r="C15" s="18"/>
      <c r="D15" s="18"/>
      <c r="E15" s="18"/>
      <c r="G15" s="85"/>
    </row>
    <row r="16" spans="1:7" s="11" customFormat="1" ht="30" customHeight="1" x14ac:dyDescent="0.25">
      <c r="A16" s="157" t="s">
        <v>90</v>
      </c>
      <c r="B16" s="18"/>
      <c r="C16" s="18"/>
      <c r="D16" s="18"/>
      <c r="E16" s="18"/>
      <c r="G16" s="85"/>
    </row>
    <row r="17" spans="1:8" s="11" customFormat="1" ht="30" customHeight="1" x14ac:dyDescent="0.25">
      <c r="A17" s="157" t="s">
        <v>242</v>
      </c>
      <c r="B17" s="18"/>
      <c r="C17" s="18"/>
      <c r="D17" s="18"/>
      <c r="E17" s="18"/>
      <c r="G17" s="85"/>
    </row>
    <row r="18" spans="1:8" s="11" customFormat="1" ht="30" customHeight="1" x14ac:dyDescent="0.25">
      <c r="A18" s="219" t="s">
        <v>219</v>
      </c>
      <c r="B18" s="219"/>
      <c r="C18" s="219"/>
      <c r="D18" s="219"/>
      <c r="E18" s="219"/>
      <c r="F18" s="219"/>
      <c r="G18" s="19"/>
      <c r="H18" s="12"/>
    </row>
    <row r="19" spans="1:8" s="11" customFormat="1" ht="30" customHeight="1" x14ac:dyDescent="0.25">
      <c r="A19" s="219"/>
      <c r="B19" s="219"/>
      <c r="C19" s="219"/>
      <c r="D19" s="219"/>
      <c r="E19" s="219"/>
      <c r="F19" s="219"/>
      <c r="G19" s="19"/>
      <c r="H19" s="12"/>
    </row>
    <row r="20" spans="1:8" s="11" customFormat="1" ht="50.25" customHeight="1" x14ac:dyDescent="0.25">
      <c r="A20" s="219"/>
      <c r="B20" s="219"/>
      <c r="C20" s="219"/>
      <c r="D20" s="219"/>
      <c r="E20" s="219"/>
      <c r="F20" s="219"/>
      <c r="G20" s="19"/>
      <c r="H20" s="12"/>
    </row>
    <row r="21" spans="1:8" s="11" customFormat="1" ht="30" customHeight="1" x14ac:dyDescent="0.25">
      <c r="A21" s="157" t="s">
        <v>96</v>
      </c>
      <c r="B21" s="18"/>
      <c r="C21" s="18"/>
      <c r="D21" s="18"/>
      <c r="E21" s="18"/>
      <c r="F21" s="2"/>
      <c r="G21" s="87"/>
    </row>
    <row r="22" spans="1:8" s="11" customFormat="1" ht="30" customHeight="1" x14ac:dyDescent="0.25">
      <c r="A22" s="157" t="s">
        <v>238</v>
      </c>
      <c r="B22" s="18"/>
      <c r="C22" s="18"/>
      <c r="D22" s="18"/>
      <c r="E22" s="18"/>
      <c r="F22" s="1"/>
      <c r="G22" s="85"/>
    </row>
    <row r="23" spans="1:8" ht="30" customHeight="1" thickBot="1" x14ac:dyDescent="0.3">
      <c r="A23" s="20"/>
      <c r="B23" s="21"/>
      <c r="C23" s="21"/>
      <c r="D23" s="21"/>
      <c r="E23" s="18"/>
    </row>
    <row r="24" spans="1:8" s="11" customFormat="1" ht="37.5" customHeight="1" thickBot="1" x14ac:dyDescent="0.3">
      <c r="A24" s="188" t="s">
        <v>2</v>
      </c>
      <c r="B24" s="190"/>
      <c r="C24" s="164" t="s">
        <v>3</v>
      </c>
      <c r="D24" s="164" t="s">
        <v>4</v>
      </c>
      <c r="E24" s="188" t="s">
        <v>5</v>
      </c>
      <c r="F24" s="190"/>
      <c r="G24" s="85"/>
    </row>
    <row r="25" spans="1:8" s="24" customFormat="1" ht="264" customHeight="1" thickBot="1" x14ac:dyDescent="0.3">
      <c r="A25" s="220" t="s">
        <v>174</v>
      </c>
      <c r="B25" s="221"/>
      <c r="C25" s="88" t="s">
        <v>211</v>
      </c>
      <c r="D25" s="88">
        <v>45291</v>
      </c>
      <c r="E25" s="222">
        <v>189666.8</v>
      </c>
      <c r="F25" s="223"/>
      <c r="G25" s="89"/>
    </row>
    <row r="26" spans="1:8" s="24" customFormat="1" ht="232.5" customHeight="1" thickBot="1" x14ac:dyDescent="0.3">
      <c r="A26" s="220" t="s">
        <v>187</v>
      </c>
      <c r="B26" s="221"/>
      <c r="C26" s="88" t="s">
        <v>210</v>
      </c>
      <c r="D26" s="88">
        <v>45291</v>
      </c>
      <c r="E26" s="222">
        <v>32542.5</v>
      </c>
      <c r="F26" s="223"/>
      <c r="G26" s="89"/>
    </row>
    <row r="27" spans="1:8" s="24" customFormat="1" ht="232.5" customHeight="1" thickBot="1" x14ac:dyDescent="0.3">
      <c r="A27" s="220" t="s">
        <v>212</v>
      </c>
      <c r="B27" s="221"/>
      <c r="C27" s="88" t="s">
        <v>213</v>
      </c>
      <c r="D27" s="88">
        <v>45291</v>
      </c>
      <c r="E27" s="222">
        <v>70017</v>
      </c>
      <c r="F27" s="223"/>
      <c r="G27" s="89"/>
    </row>
    <row r="28" spans="1:8" s="11" customFormat="1" ht="60" customHeight="1" thickBot="1" x14ac:dyDescent="0.3">
      <c r="A28" s="188" t="s">
        <v>6</v>
      </c>
      <c r="B28" s="189"/>
      <c r="C28" s="189"/>
      <c r="D28" s="189"/>
      <c r="E28" s="189"/>
      <c r="F28" s="190"/>
      <c r="G28" s="85"/>
    </row>
    <row r="29" spans="1:8" s="11" customFormat="1" ht="101.25" customHeight="1" thickBot="1" x14ac:dyDescent="0.3">
      <c r="A29" s="158" t="s">
        <v>82</v>
      </c>
      <c r="B29" s="158" t="s">
        <v>7</v>
      </c>
      <c r="C29" s="164" t="s">
        <v>8</v>
      </c>
      <c r="D29" s="158" t="s">
        <v>9</v>
      </c>
      <c r="E29" s="227" t="s">
        <v>10</v>
      </c>
      <c r="F29" s="227"/>
      <c r="G29" s="85"/>
    </row>
    <row r="30" spans="1:8" s="11" customFormat="1" ht="42.75" customHeight="1" thickBot="1" x14ac:dyDescent="0.3">
      <c r="A30" s="153" t="s">
        <v>171</v>
      </c>
      <c r="B30" s="152">
        <f>E25</f>
        <v>189666.8</v>
      </c>
      <c r="C30" s="101">
        <v>45230</v>
      </c>
      <c r="D30" s="93" t="s">
        <v>175</v>
      </c>
      <c r="E30" s="224">
        <f>B30</f>
        <v>189666.8</v>
      </c>
      <c r="F30" s="225"/>
      <c r="G30" s="56"/>
    </row>
    <row r="31" spans="1:8" s="11" customFormat="1" ht="42.75" customHeight="1" thickBot="1" x14ac:dyDescent="0.3">
      <c r="A31" s="153" t="s">
        <v>185</v>
      </c>
      <c r="B31" s="152">
        <v>32542.5</v>
      </c>
      <c r="C31" s="101">
        <v>45260</v>
      </c>
      <c r="D31" s="93" t="s">
        <v>188</v>
      </c>
      <c r="E31" s="224">
        <f>B31</f>
        <v>32542.5</v>
      </c>
      <c r="F31" s="225"/>
      <c r="G31" s="56"/>
    </row>
    <row r="32" spans="1:8" s="11" customFormat="1" ht="42.75" customHeight="1" thickBot="1" x14ac:dyDescent="0.3">
      <c r="A32" s="153" t="s">
        <v>208</v>
      </c>
      <c r="B32" s="152">
        <v>70017</v>
      </c>
      <c r="C32" s="101">
        <v>45280</v>
      </c>
      <c r="D32" s="93" t="s">
        <v>214</v>
      </c>
      <c r="E32" s="224">
        <f>B32</f>
        <v>70017</v>
      </c>
      <c r="F32" s="225"/>
      <c r="G32" s="56"/>
    </row>
    <row r="33" spans="1:8" s="11" customFormat="1" ht="38.1" customHeight="1" thickBot="1" x14ac:dyDescent="0.3">
      <c r="A33" s="186" t="s">
        <v>83</v>
      </c>
      <c r="B33" s="186"/>
      <c r="C33" s="186"/>
      <c r="D33" s="186"/>
      <c r="E33" s="181">
        <v>0</v>
      </c>
      <c r="F33" s="182"/>
      <c r="G33" s="94"/>
      <c r="H33" s="95"/>
    </row>
    <row r="34" spans="1:8" s="11" customFormat="1" ht="37.5" customHeight="1" thickBot="1" x14ac:dyDescent="0.3">
      <c r="A34" s="186" t="s">
        <v>84</v>
      </c>
      <c r="B34" s="186"/>
      <c r="C34" s="186"/>
      <c r="D34" s="186"/>
      <c r="E34" s="185">
        <f>SUM(E30:F32)</f>
        <v>292226.3</v>
      </c>
      <c r="F34" s="185"/>
      <c r="G34" s="96"/>
    </row>
    <row r="35" spans="1:8" s="11" customFormat="1" ht="37.5" customHeight="1" thickBot="1" x14ac:dyDescent="0.3">
      <c r="A35" s="176" t="s">
        <v>11</v>
      </c>
      <c r="B35" s="177"/>
      <c r="C35" s="177"/>
      <c r="D35" s="178"/>
      <c r="E35" s="185">
        <f>20.77+540.45</f>
        <v>561.22</v>
      </c>
      <c r="F35" s="185"/>
      <c r="G35" s="96"/>
      <c r="H35" s="28"/>
    </row>
    <row r="36" spans="1:8" s="11" customFormat="1" ht="38.1" customHeight="1" thickBot="1" x14ac:dyDescent="0.3">
      <c r="A36" s="186" t="s">
        <v>12</v>
      </c>
      <c r="B36" s="186"/>
      <c r="C36" s="186"/>
      <c r="D36" s="186"/>
      <c r="E36" s="185">
        <v>0</v>
      </c>
      <c r="F36" s="185"/>
      <c r="G36" s="85"/>
    </row>
    <row r="37" spans="1:8" s="11" customFormat="1" ht="38.1" customHeight="1" thickBot="1" x14ac:dyDescent="0.3">
      <c r="A37" s="186" t="s">
        <v>13</v>
      </c>
      <c r="B37" s="186"/>
      <c r="C37" s="186"/>
      <c r="D37" s="186"/>
      <c r="E37" s="197">
        <f>SUM(E33:F36)</f>
        <v>292787.51999999996</v>
      </c>
      <c r="F37" s="197"/>
      <c r="G37" s="85"/>
    </row>
    <row r="38" spans="1:8" s="11" customFormat="1" ht="38.1" customHeight="1" thickBot="1" x14ac:dyDescent="0.3">
      <c r="A38" s="198"/>
      <c r="B38" s="198"/>
      <c r="C38" s="198"/>
      <c r="D38" s="198"/>
      <c r="E38" s="198"/>
      <c r="F38" s="198"/>
      <c r="G38" s="85"/>
    </row>
    <row r="39" spans="1:8" s="11" customFormat="1" ht="38.1" customHeight="1" thickBot="1" x14ac:dyDescent="0.3">
      <c r="A39" s="186" t="s">
        <v>14</v>
      </c>
      <c r="B39" s="186"/>
      <c r="C39" s="186"/>
      <c r="D39" s="186"/>
      <c r="E39" s="185">
        <v>0</v>
      </c>
      <c r="F39" s="185"/>
      <c r="G39" s="85"/>
    </row>
    <row r="40" spans="1:8" s="11" customFormat="1" ht="38.1" customHeight="1" thickBot="1" x14ac:dyDescent="0.3">
      <c r="A40" s="186" t="s">
        <v>15</v>
      </c>
      <c r="B40" s="186"/>
      <c r="C40" s="186"/>
      <c r="D40" s="186"/>
      <c r="E40" s="191">
        <f>E37+E39</f>
        <v>292787.51999999996</v>
      </c>
      <c r="F40" s="191"/>
      <c r="G40" s="85"/>
    </row>
    <row r="41" spans="1:8" ht="30" customHeight="1" x14ac:dyDescent="0.25">
      <c r="A41" s="162" t="s">
        <v>16</v>
      </c>
      <c r="B41" s="31"/>
      <c r="C41" s="31"/>
      <c r="D41" s="31"/>
      <c r="E41" s="32"/>
    </row>
    <row r="42" spans="1:8" ht="30" customHeight="1" x14ac:dyDescent="0.25">
      <c r="A42" s="162" t="s">
        <v>17</v>
      </c>
      <c r="B42" s="31"/>
      <c r="C42" s="31"/>
      <c r="D42" s="33"/>
    </row>
    <row r="43" spans="1:8" ht="30" customHeight="1" x14ac:dyDescent="0.25">
      <c r="A43" s="192" t="s">
        <v>85</v>
      </c>
      <c r="B43" s="192"/>
      <c r="C43" s="192"/>
      <c r="D43" s="97"/>
    </row>
    <row r="44" spans="1:8" ht="30" customHeight="1" x14ac:dyDescent="0.25">
      <c r="A44" s="34"/>
      <c r="B44" s="33"/>
      <c r="C44" s="33"/>
      <c r="D44" s="33"/>
      <c r="F44" s="11"/>
    </row>
    <row r="45" spans="1:8" ht="30" customHeight="1" x14ac:dyDescent="0.25">
      <c r="A45" s="163"/>
      <c r="B45" s="163"/>
      <c r="C45" s="163"/>
      <c r="D45" s="163"/>
      <c r="E45" s="163"/>
      <c r="F45" s="163"/>
    </row>
    <row r="46" spans="1:8" ht="30" customHeight="1" x14ac:dyDescent="0.25">
      <c r="A46" s="163"/>
      <c r="B46" s="163"/>
      <c r="C46" s="163"/>
      <c r="D46" s="163"/>
      <c r="E46" s="163"/>
      <c r="F46" s="163"/>
    </row>
    <row r="47" spans="1:8" ht="30" customHeight="1" x14ac:dyDescent="0.25">
      <c r="A47" s="163"/>
      <c r="B47" s="163"/>
      <c r="C47" s="163"/>
      <c r="D47" s="163"/>
      <c r="E47" s="163"/>
      <c r="F47" s="163"/>
    </row>
    <row r="48" spans="1:8" ht="30" customHeight="1" x14ac:dyDescent="0.25">
      <c r="A48" s="163"/>
      <c r="B48" s="163"/>
      <c r="C48" s="163"/>
      <c r="D48" s="163"/>
      <c r="E48" s="163"/>
      <c r="F48" s="163"/>
    </row>
    <row r="49" spans="1:6" ht="30" customHeight="1" x14ac:dyDescent="0.25">
      <c r="A49" s="163"/>
      <c r="B49" s="163"/>
      <c r="C49" s="163"/>
      <c r="D49" s="163"/>
      <c r="E49" s="163"/>
      <c r="F49" s="163"/>
    </row>
    <row r="50" spans="1:6" ht="30" customHeight="1" x14ac:dyDescent="0.25">
      <c r="A50" s="163"/>
      <c r="B50" s="163"/>
      <c r="C50" s="163"/>
      <c r="D50" s="163"/>
      <c r="E50" s="163"/>
      <c r="F50" s="163"/>
    </row>
    <row r="51" spans="1:6" ht="30" customHeight="1" x14ac:dyDescent="0.25">
      <c r="A51" s="163"/>
      <c r="B51" s="163"/>
      <c r="C51" s="163"/>
      <c r="D51" s="163"/>
      <c r="E51" s="163"/>
      <c r="F51" s="163"/>
    </row>
    <row r="52" spans="1:6" ht="30" customHeight="1" x14ac:dyDescent="0.25">
      <c r="A52" s="163"/>
      <c r="B52" s="163"/>
      <c r="C52" s="163"/>
      <c r="D52" s="163"/>
      <c r="E52" s="163"/>
      <c r="F52" s="163"/>
    </row>
    <row r="53" spans="1:6" ht="30" customHeight="1" x14ac:dyDescent="0.25">
      <c r="A53" s="163"/>
      <c r="B53" s="163"/>
      <c r="C53" s="163"/>
      <c r="D53" s="163"/>
      <c r="E53" s="163"/>
      <c r="F53" s="163"/>
    </row>
    <row r="54" spans="1:6" ht="30" customHeight="1" x14ac:dyDescent="0.25">
      <c r="A54" s="163"/>
      <c r="B54" s="163"/>
      <c r="C54" s="163"/>
      <c r="D54" s="163"/>
      <c r="E54" s="163"/>
      <c r="F54" s="163"/>
    </row>
    <row r="55" spans="1:6" ht="30" customHeight="1" x14ac:dyDescent="0.25">
      <c r="A55" s="163"/>
      <c r="B55" s="163"/>
      <c r="C55" s="163"/>
      <c r="D55" s="163"/>
      <c r="E55" s="163"/>
      <c r="F55" s="163"/>
    </row>
    <row r="56" spans="1:6" ht="30" customHeight="1" x14ac:dyDescent="0.25">
      <c r="A56" s="163"/>
      <c r="B56" s="163"/>
      <c r="C56" s="163"/>
      <c r="D56" s="163"/>
      <c r="E56" s="163"/>
      <c r="F56" s="163"/>
    </row>
    <row r="57" spans="1:6" ht="30" customHeight="1" x14ac:dyDescent="0.25">
      <c r="A57" s="163"/>
      <c r="B57" s="163"/>
      <c r="C57" s="163"/>
      <c r="D57" s="163"/>
      <c r="E57" s="163"/>
      <c r="F57" s="163"/>
    </row>
    <row r="58" spans="1:6" ht="30" customHeight="1" x14ac:dyDescent="0.25">
      <c r="A58" s="163"/>
      <c r="B58" s="163"/>
      <c r="C58" s="163"/>
      <c r="D58" s="163"/>
      <c r="E58" s="163"/>
      <c r="F58" s="163"/>
    </row>
    <row r="59" spans="1:6" ht="30" customHeight="1" x14ac:dyDescent="0.25">
      <c r="A59" s="193" t="s">
        <v>97</v>
      </c>
      <c r="B59" s="193"/>
      <c r="C59" s="193"/>
      <c r="D59" s="193"/>
      <c r="E59" s="193"/>
      <c r="F59" s="193"/>
    </row>
    <row r="60" spans="1:6" ht="30" customHeight="1" x14ac:dyDescent="0.25">
      <c r="A60" s="193"/>
      <c r="B60" s="193"/>
      <c r="C60" s="193"/>
      <c r="D60" s="193"/>
      <c r="E60" s="193"/>
      <c r="F60" s="193"/>
    </row>
    <row r="61" spans="1:6" ht="30" customHeight="1" x14ac:dyDescent="0.25">
      <c r="A61" s="163"/>
      <c r="B61" s="163"/>
      <c r="C61" s="163"/>
      <c r="D61" s="163"/>
      <c r="E61" s="163"/>
      <c r="F61" s="163"/>
    </row>
    <row r="62" spans="1:6" ht="30" customHeight="1" x14ac:dyDescent="0.25">
      <c r="A62" s="163"/>
      <c r="B62" s="163"/>
      <c r="C62" s="163"/>
      <c r="D62" s="163"/>
      <c r="E62" s="163"/>
      <c r="F62" s="163"/>
    </row>
    <row r="63" spans="1:6" ht="30" customHeight="1" x14ac:dyDescent="0.25">
      <c r="A63" s="163"/>
      <c r="B63" s="163"/>
      <c r="C63" s="163"/>
      <c r="D63" s="163"/>
      <c r="E63" s="163"/>
      <c r="F63" s="163"/>
    </row>
    <row r="64" spans="1:6" ht="30" customHeight="1" thickBot="1" x14ac:dyDescent="0.3">
      <c r="A64" s="163"/>
      <c r="B64" s="163"/>
      <c r="C64" s="163"/>
      <c r="D64" s="163"/>
      <c r="E64" s="163"/>
      <c r="F64" s="163"/>
    </row>
    <row r="65" spans="1:7" s="11" customFormat="1" ht="37.5" customHeight="1" thickBot="1" x14ac:dyDescent="0.3">
      <c r="A65" s="194" t="s">
        <v>18</v>
      </c>
      <c r="B65" s="195"/>
      <c r="C65" s="195"/>
      <c r="D65" s="195"/>
      <c r="E65" s="195"/>
      <c r="F65" s="196"/>
      <c r="G65" s="85"/>
    </row>
    <row r="66" spans="1:7" s="11" customFormat="1" ht="37.5" customHeight="1" thickBot="1" x14ac:dyDescent="0.3">
      <c r="A66" s="36" t="s">
        <v>91</v>
      </c>
      <c r="B66" s="37"/>
      <c r="C66" s="37"/>
      <c r="D66" s="37"/>
      <c r="E66" s="37"/>
      <c r="F66" s="3"/>
      <c r="G66" s="85"/>
    </row>
    <row r="67" spans="1:7" s="11" customFormat="1" ht="33" customHeight="1" x14ac:dyDescent="0.25">
      <c r="A67" s="38"/>
      <c r="B67" s="39"/>
      <c r="C67" s="40" t="s">
        <v>19</v>
      </c>
      <c r="D67" s="40" t="s">
        <v>19</v>
      </c>
      <c r="E67" s="40" t="s">
        <v>20</v>
      </c>
      <c r="F67" s="40" t="s">
        <v>19</v>
      </c>
      <c r="G67" s="85"/>
    </row>
    <row r="68" spans="1:7" s="11" customFormat="1" ht="33" customHeight="1" x14ac:dyDescent="0.25">
      <c r="A68" s="40" t="s">
        <v>21</v>
      </c>
      <c r="B68" s="41" t="s">
        <v>19</v>
      </c>
      <c r="C68" s="40" t="s">
        <v>22</v>
      </c>
      <c r="D68" s="40" t="s">
        <v>22</v>
      </c>
      <c r="E68" s="40" t="s">
        <v>19</v>
      </c>
      <c r="F68" s="40" t="s">
        <v>22</v>
      </c>
      <c r="G68" s="85"/>
    </row>
    <row r="69" spans="1:7" s="11" customFormat="1" ht="33" customHeight="1" x14ac:dyDescent="0.25">
      <c r="A69" s="40" t="s">
        <v>23</v>
      </c>
      <c r="B69" s="41" t="s">
        <v>22</v>
      </c>
      <c r="C69" s="40" t="s">
        <v>24</v>
      </c>
      <c r="D69" s="40" t="s">
        <v>25</v>
      </c>
      <c r="E69" s="40" t="s">
        <v>26</v>
      </c>
      <c r="F69" s="40" t="s">
        <v>27</v>
      </c>
      <c r="G69" s="85"/>
    </row>
    <row r="70" spans="1:7" s="11" customFormat="1" ht="33" customHeight="1" x14ac:dyDescent="0.25">
      <c r="A70" s="40" t="s">
        <v>28</v>
      </c>
      <c r="B70" s="41" t="s">
        <v>29</v>
      </c>
      <c r="C70" s="40" t="s">
        <v>30</v>
      </c>
      <c r="D70" s="40" t="s">
        <v>31</v>
      </c>
      <c r="E70" s="40" t="s">
        <v>29</v>
      </c>
      <c r="F70" s="40" t="s">
        <v>32</v>
      </c>
      <c r="G70" s="85"/>
    </row>
    <row r="71" spans="1:7" s="11" customFormat="1" ht="33" customHeight="1" x14ac:dyDescent="0.25">
      <c r="A71" s="38"/>
      <c r="B71" s="41" t="s">
        <v>33</v>
      </c>
      <c r="C71" s="40" t="s">
        <v>34</v>
      </c>
      <c r="D71" s="40" t="s">
        <v>33</v>
      </c>
      <c r="E71" s="40" t="s">
        <v>35</v>
      </c>
      <c r="F71" s="40" t="s">
        <v>36</v>
      </c>
      <c r="G71" s="85"/>
    </row>
    <row r="72" spans="1:7" s="11" customFormat="1" ht="33" customHeight="1" x14ac:dyDescent="0.25">
      <c r="A72" s="38"/>
      <c r="B72" s="42"/>
      <c r="C72" s="40" t="s">
        <v>33</v>
      </c>
      <c r="D72" s="40" t="s">
        <v>37</v>
      </c>
      <c r="E72" s="40" t="s">
        <v>38</v>
      </c>
      <c r="F72" s="40" t="s">
        <v>39</v>
      </c>
      <c r="G72" s="85"/>
    </row>
    <row r="73" spans="1:7" s="11" customFormat="1" ht="33" customHeight="1" thickBot="1" x14ac:dyDescent="0.3">
      <c r="A73" s="43"/>
      <c r="B73" s="44"/>
      <c r="C73" s="45" t="s">
        <v>40</v>
      </c>
      <c r="D73" s="46"/>
      <c r="E73" s="47" t="s">
        <v>41</v>
      </c>
      <c r="F73" s="46"/>
      <c r="G73" s="85"/>
    </row>
    <row r="74" spans="1:7" s="11" customFormat="1" ht="47.25" customHeight="1" thickBot="1" x14ac:dyDescent="0.3">
      <c r="A74" s="159" t="s">
        <v>42</v>
      </c>
      <c r="B74" s="49">
        <f t="shared" ref="B74:B89" si="0">D74+F74</f>
        <v>201920.26</v>
      </c>
      <c r="C74" s="50">
        <v>0</v>
      </c>
      <c r="D74" s="50">
        <f>138170.63+21453.97</f>
        <v>159624.6</v>
      </c>
      <c r="E74" s="50">
        <f t="shared" ref="E74:E89" si="1">C74+D74</f>
        <v>159624.6</v>
      </c>
      <c r="F74" s="51">
        <f>42295.66</f>
        <v>42295.66</v>
      </c>
      <c r="G74" s="85"/>
    </row>
    <row r="75" spans="1:7" s="11" customFormat="1" ht="47.25" customHeight="1" thickBot="1" x14ac:dyDescent="0.3">
      <c r="A75" s="159" t="s">
        <v>43</v>
      </c>
      <c r="B75" s="49">
        <f t="shared" si="0"/>
        <v>0</v>
      </c>
      <c r="C75" s="50">
        <v>0</v>
      </c>
      <c r="D75" s="50">
        <v>0</v>
      </c>
      <c r="E75" s="50">
        <f t="shared" si="1"/>
        <v>0</v>
      </c>
      <c r="F75" s="51">
        <v>0</v>
      </c>
      <c r="G75" s="85"/>
    </row>
    <row r="76" spans="1:7" s="11" customFormat="1" ht="47.25" customHeight="1" thickBot="1" x14ac:dyDescent="0.3">
      <c r="A76" s="159" t="s">
        <v>44</v>
      </c>
      <c r="B76" s="49">
        <f t="shared" si="0"/>
        <v>0</v>
      </c>
      <c r="C76" s="50">
        <v>0</v>
      </c>
      <c r="D76" s="50">
        <v>0</v>
      </c>
      <c r="E76" s="50">
        <f t="shared" si="1"/>
        <v>0</v>
      </c>
      <c r="F76" s="51">
        <v>0</v>
      </c>
      <c r="G76" s="85"/>
    </row>
    <row r="77" spans="1:7" s="11" customFormat="1" ht="53.25" customHeight="1" thickBot="1" x14ac:dyDescent="0.3">
      <c r="A77" s="52" t="s">
        <v>45</v>
      </c>
      <c r="B77" s="49">
        <f t="shared" si="0"/>
        <v>0</v>
      </c>
      <c r="C77" s="50">
        <v>0</v>
      </c>
      <c r="D77" s="50">
        <v>0</v>
      </c>
      <c r="E77" s="50">
        <f t="shared" si="1"/>
        <v>0</v>
      </c>
      <c r="F77" s="51">
        <v>0</v>
      </c>
      <c r="G77" s="85"/>
    </row>
    <row r="78" spans="1:7" s="11" customFormat="1" ht="47.25" customHeight="1" thickBot="1" x14ac:dyDescent="0.3">
      <c r="A78" s="159" t="s">
        <v>46</v>
      </c>
      <c r="B78" s="49">
        <f t="shared" si="0"/>
        <v>0</v>
      </c>
      <c r="C78" s="50">
        <v>0</v>
      </c>
      <c r="D78" s="50">
        <v>0</v>
      </c>
      <c r="E78" s="50">
        <f t="shared" si="1"/>
        <v>0</v>
      </c>
      <c r="F78" s="51">
        <v>0</v>
      </c>
      <c r="G78" s="85"/>
    </row>
    <row r="79" spans="1:7" s="11" customFormat="1" ht="54" customHeight="1" thickBot="1" x14ac:dyDescent="0.3">
      <c r="A79" s="52" t="s">
        <v>47</v>
      </c>
      <c r="B79" s="49">
        <f t="shared" si="0"/>
        <v>0</v>
      </c>
      <c r="C79" s="50">
        <v>0</v>
      </c>
      <c r="D79" s="50">
        <v>0</v>
      </c>
      <c r="E79" s="50">
        <f t="shared" si="1"/>
        <v>0</v>
      </c>
      <c r="F79" s="51">
        <v>0</v>
      </c>
      <c r="G79" s="85"/>
    </row>
    <row r="80" spans="1:7" s="11" customFormat="1" ht="47.25" customHeight="1" thickBot="1" x14ac:dyDescent="0.3">
      <c r="A80" s="159" t="s">
        <v>48</v>
      </c>
      <c r="B80" s="49">
        <f t="shared" si="0"/>
        <v>0</v>
      </c>
      <c r="C80" s="50">
        <v>0</v>
      </c>
      <c r="D80" s="50">
        <v>0</v>
      </c>
      <c r="E80" s="50">
        <f t="shared" si="1"/>
        <v>0</v>
      </c>
      <c r="F80" s="51">
        <v>0</v>
      </c>
      <c r="G80" s="85"/>
    </row>
    <row r="81" spans="1:7" s="11" customFormat="1" ht="55.5" customHeight="1" thickBot="1" x14ac:dyDescent="0.3">
      <c r="A81" s="52" t="s">
        <v>49</v>
      </c>
      <c r="B81" s="49">
        <f t="shared" si="0"/>
        <v>0</v>
      </c>
      <c r="C81" s="50">
        <v>0</v>
      </c>
      <c r="D81" s="50">
        <v>0</v>
      </c>
      <c r="E81" s="50">
        <f t="shared" si="1"/>
        <v>0</v>
      </c>
      <c r="F81" s="51">
        <v>0</v>
      </c>
      <c r="G81" s="85"/>
    </row>
    <row r="82" spans="1:7" s="11" customFormat="1" ht="47.25" customHeight="1" thickBot="1" x14ac:dyDescent="0.3">
      <c r="A82" s="159" t="s">
        <v>50</v>
      </c>
      <c r="B82" s="49">
        <f t="shared" si="0"/>
        <v>0</v>
      </c>
      <c r="C82" s="50">
        <v>0</v>
      </c>
      <c r="D82" s="50">
        <v>0</v>
      </c>
      <c r="E82" s="50">
        <f t="shared" si="1"/>
        <v>0</v>
      </c>
      <c r="F82" s="51">
        <v>0</v>
      </c>
      <c r="G82" s="87"/>
    </row>
    <row r="83" spans="1:7" s="11" customFormat="1" ht="47.25" customHeight="1" thickBot="1" x14ac:dyDescent="0.3">
      <c r="A83" s="159" t="s">
        <v>51</v>
      </c>
      <c r="B83" s="49">
        <f t="shared" si="0"/>
        <v>0</v>
      </c>
      <c r="C83" s="50">
        <v>0</v>
      </c>
      <c r="D83" s="50">
        <v>0</v>
      </c>
      <c r="E83" s="50">
        <f t="shared" si="1"/>
        <v>0</v>
      </c>
      <c r="F83" s="51">
        <v>0</v>
      </c>
      <c r="G83" s="85"/>
    </row>
    <row r="84" spans="1:7" s="11" customFormat="1" ht="47.25" customHeight="1" thickBot="1" x14ac:dyDescent="0.3">
      <c r="A84" s="159" t="s">
        <v>52</v>
      </c>
      <c r="B84" s="49">
        <f t="shared" si="0"/>
        <v>0</v>
      </c>
      <c r="C84" s="50">
        <v>0</v>
      </c>
      <c r="D84" s="50">
        <v>0</v>
      </c>
      <c r="E84" s="50">
        <f t="shared" si="1"/>
        <v>0</v>
      </c>
      <c r="F84" s="51">
        <v>0</v>
      </c>
      <c r="G84" s="87"/>
    </row>
    <row r="85" spans="1:7" s="11" customFormat="1" ht="47.25" customHeight="1" thickBot="1" x14ac:dyDescent="0.3">
      <c r="A85" s="159" t="s">
        <v>53</v>
      </c>
      <c r="B85" s="49">
        <f t="shared" si="0"/>
        <v>0</v>
      </c>
      <c r="C85" s="50">
        <v>0</v>
      </c>
      <c r="D85" s="50">
        <v>0</v>
      </c>
      <c r="E85" s="50">
        <f t="shared" si="1"/>
        <v>0</v>
      </c>
      <c r="F85" s="51">
        <v>0</v>
      </c>
      <c r="G85" s="85"/>
    </row>
    <row r="86" spans="1:7" s="11" customFormat="1" ht="54" customHeight="1" thickBot="1" x14ac:dyDescent="0.3">
      <c r="A86" s="52" t="s">
        <v>54</v>
      </c>
      <c r="B86" s="49">
        <f t="shared" si="0"/>
        <v>0</v>
      </c>
      <c r="C86" s="50">
        <v>0</v>
      </c>
      <c r="D86" s="50"/>
      <c r="E86" s="50">
        <f t="shared" si="1"/>
        <v>0</v>
      </c>
      <c r="F86" s="51"/>
      <c r="G86" s="85"/>
    </row>
    <row r="87" spans="1:7" s="11" customFormat="1" ht="47.25" customHeight="1" thickBot="1" x14ac:dyDescent="0.3">
      <c r="A87" s="159" t="s">
        <v>55</v>
      </c>
      <c r="B87" s="49">
        <f t="shared" si="0"/>
        <v>0</v>
      </c>
      <c r="C87" s="50">
        <v>0</v>
      </c>
      <c r="D87" s="50">
        <v>0</v>
      </c>
      <c r="E87" s="50">
        <f t="shared" si="1"/>
        <v>0</v>
      </c>
      <c r="F87" s="51">
        <v>0</v>
      </c>
      <c r="G87" s="85"/>
    </row>
    <row r="88" spans="1:7" s="11" customFormat="1" ht="55.5" customHeight="1" thickBot="1" x14ac:dyDescent="0.3">
      <c r="A88" s="52" t="s">
        <v>56</v>
      </c>
      <c r="B88" s="49">
        <f t="shared" si="0"/>
        <v>0</v>
      </c>
      <c r="C88" s="50">
        <v>0</v>
      </c>
      <c r="D88" s="50">
        <v>0</v>
      </c>
      <c r="E88" s="50">
        <f t="shared" si="1"/>
        <v>0</v>
      </c>
      <c r="F88" s="51">
        <v>0</v>
      </c>
      <c r="G88" s="85"/>
    </row>
    <row r="89" spans="1:7" s="11" customFormat="1" ht="47.25" customHeight="1" thickBot="1" x14ac:dyDescent="0.3">
      <c r="A89" s="159" t="s">
        <v>57</v>
      </c>
      <c r="B89" s="49">
        <f t="shared" si="0"/>
        <v>0</v>
      </c>
      <c r="C89" s="50">
        <v>0</v>
      </c>
      <c r="D89" s="50">
        <v>0</v>
      </c>
      <c r="E89" s="50">
        <f t="shared" si="1"/>
        <v>0</v>
      </c>
      <c r="F89" s="51">
        <v>0</v>
      </c>
      <c r="G89" s="85"/>
    </row>
    <row r="90" spans="1:7" s="11" customFormat="1" ht="47.25" customHeight="1" thickBot="1" x14ac:dyDescent="0.3">
      <c r="A90" s="53" t="s">
        <v>0</v>
      </c>
      <c r="B90" s="54">
        <f>SUM(B74:B89)</f>
        <v>201920.26</v>
      </c>
      <c r="C90" s="54">
        <f>SUM(C74:C89)</f>
        <v>0</v>
      </c>
      <c r="D90" s="54">
        <f>SUM(D74:D89)</f>
        <v>159624.6</v>
      </c>
      <c r="E90" s="54">
        <f>SUM(E74:E89)</f>
        <v>159624.6</v>
      </c>
      <c r="F90" s="54">
        <f>SUM(F74:F89)</f>
        <v>42295.66</v>
      </c>
      <c r="G90" s="85"/>
    </row>
    <row r="91" spans="1:7" ht="30" customHeight="1" x14ac:dyDescent="0.25">
      <c r="A91" s="162" t="s">
        <v>58</v>
      </c>
      <c r="B91" s="31"/>
      <c r="C91" s="31"/>
      <c r="D91" s="31"/>
      <c r="E91" s="55"/>
    </row>
    <row r="92" spans="1:7" ht="30" customHeight="1" x14ac:dyDescent="0.25">
      <c r="A92" s="162" t="s">
        <v>59</v>
      </c>
      <c r="B92" s="31"/>
      <c r="C92" s="59"/>
      <c r="D92" s="4"/>
    </row>
    <row r="93" spans="1:7" ht="30" customHeight="1" x14ac:dyDescent="0.25">
      <c r="A93" s="162" t="s">
        <v>60</v>
      </c>
      <c r="B93" s="31"/>
      <c r="C93" s="57"/>
      <c r="D93" s="57"/>
      <c r="E93" s="59"/>
    </row>
    <row r="94" spans="1:7" ht="30" customHeight="1" x14ac:dyDescent="0.25">
      <c r="A94" s="162" t="s">
        <v>61</v>
      </c>
      <c r="B94" s="31"/>
      <c r="C94" s="31"/>
      <c r="D94" s="31"/>
      <c r="E94" s="55"/>
    </row>
    <row r="95" spans="1:7" ht="30" customHeight="1" x14ac:dyDescent="0.25">
      <c r="A95" s="162" t="s">
        <v>62</v>
      </c>
      <c r="B95" s="31"/>
      <c r="C95" s="31"/>
      <c r="D95" s="31"/>
      <c r="E95" s="55"/>
    </row>
    <row r="96" spans="1:7" ht="30" customHeight="1" x14ac:dyDescent="0.25">
      <c r="A96" s="162" t="s">
        <v>63</v>
      </c>
      <c r="B96" s="31"/>
      <c r="C96" s="31"/>
      <c r="D96" s="31"/>
      <c r="E96" s="55"/>
    </row>
    <row r="97" spans="1:6" ht="30" customHeight="1" x14ac:dyDescent="0.25">
      <c r="A97" s="61" t="s">
        <v>64</v>
      </c>
      <c r="B97" s="61"/>
      <c r="C97" s="61"/>
      <c r="D97" s="62"/>
      <c r="E97" s="63"/>
      <c r="F97" s="11"/>
    </row>
    <row r="98" spans="1:6" ht="30" customHeight="1" x14ac:dyDescent="0.25">
      <c r="A98" s="61" t="s">
        <v>65</v>
      </c>
      <c r="B98" s="61"/>
      <c r="C98" s="61"/>
      <c r="D98" s="64"/>
      <c r="E98" s="63"/>
      <c r="F98" s="11"/>
    </row>
    <row r="99" spans="1:6" ht="30" customHeight="1" x14ac:dyDescent="0.25">
      <c r="A99" s="61" t="s">
        <v>66</v>
      </c>
      <c r="B99" s="61"/>
      <c r="C99" s="61"/>
      <c r="D99" s="61"/>
      <c r="E99" s="63"/>
      <c r="F99" s="11"/>
    </row>
    <row r="100" spans="1:6" ht="30" customHeight="1" x14ac:dyDescent="0.25">
      <c r="A100" s="61" t="s">
        <v>67</v>
      </c>
      <c r="B100" s="61"/>
      <c r="C100" s="61"/>
      <c r="D100" s="61"/>
      <c r="E100" s="63"/>
      <c r="F100" s="11"/>
    </row>
    <row r="101" spans="1:6" ht="30" customHeight="1" x14ac:dyDescent="0.25">
      <c r="A101" s="61"/>
      <c r="B101" s="61"/>
      <c r="C101" s="61"/>
      <c r="D101" s="61"/>
      <c r="E101" s="63"/>
      <c r="F101" s="11"/>
    </row>
    <row r="102" spans="1:6" ht="30" customHeight="1" x14ac:dyDescent="0.25">
      <c r="A102" s="162" t="s">
        <v>68</v>
      </c>
      <c r="B102" s="31"/>
      <c r="C102" s="31"/>
      <c r="D102" s="31"/>
      <c r="E102" s="55"/>
    </row>
    <row r="103" spans="1:6" ht="30" customHeight="1" x14ac:dyDescent="0.25">
      <c r="A103" s="162"/>
      <c r="B103" s="31"/>
      <c r="C103" s="31"/>
      <c r="D103" s="31"/>
      <c r="E103" s="55"/>
    </row>
    <row r="104" spans="1:6" ht="30" customHeight="1" x14ac:dyDescent="0.25">
      <c r="A104" s="162"/>
      <c r="B104" s="31"/>
      <c r="C104" s="31"/>
      <c r="D104" s="31"/>
      <c r="E104" s="55"/>
    </row>
    <row r="105" spans="1:6" ht="30" customHeight="1" x14ac:dyDescent="0.25">
      <c r="A105" s="162"/>
      <c r="B105" s="31"/>
      <c r="C105" s="31"/>
      <c r="D105" s="31"/>
      <c r="E105" s="55"/>
    </row>
    <row r="106" spans="1:6" ht="30" customHeight="1" x14ac:dyDescent="0.25">
      <c r="A106" s="162"/>
      <c r="B106" s="31"/>
      <c r="C106" s="31"/>
      <c r="D106" s="31"/>
      <c r="E106" s="55"/>
    </row>
    <row r="107" spans="1:6" ht="30" customHeight="1" x14ac:dyDescent="0.25">
      <c r="A107" s="162"/>
      <c r="B107" s="31"/>
      <c r="C107" s="31"/>
      <c r="D107" s="31"/>
      <c r="E107" s="55"/>
    </row>
    <row r="108" spans="1:6" ht="30" customHeight="1" x14ac:dyDescent="0.25">
      <c r="A108" s="162"/>
      <c r="B108" s="31"/>
      <c r="C108" s="31"/>
      <c r="D108" s="31"/>
      <c r="E108" s="55"/>
    </row>
    <row r="109" spans="1:6" ht="30" customHeight="1" x14ac:dyDescent="0.25">
      <c r="A109" s="162"/>
      <c r="B109" s="31"/>
      <c r="C109" s="31"/>
      <c r="D109" s="31"/>
      <c r="E109" s="55"/>
    </row>
    <row r="110" spans="1:6" ht="30" customHeight="1" x14ac:dyDescent="0.25">
      <c r="A110" s="162"/>
      <c r="B110" s="31"/>
      <c r="C110" s="31"/>
      <c r="D110" s="31"/>
      <c r="E110" s="55"/>
    </row>
    <row r="111" spans="1:6" ht="30" customHeight="1" x14ac:dyDescent="0.25">
      <c r="A111" s="162"/>
      <c r="B111" s="31"/>
      <c r="C111" s="31"/>
      <c r="D111" s="31"/>
      <c r="E111" s="55"/>
    </row>
    <row r="112" spans="1:6" ht="30" customHeight="1" x14ac:dyDescent="0.25">
      <c r="A112" s="162"/>
      <c r="B112" s="31"/>
      <c r="C112" s="31"/>
      <c r="D112" s="31"/>
      <c r="E112" s="55"/>
    </row>
    <row r="113" spans="1:7" ht="30" customHeight="1" x14ac:dyDescent="0.25">
      <c r="A113" s="162"/>
      <c r="B113" s="31"/>
      <c r="C113" s="31"/>
      <c r="D113" s="31"/>
      <c r="E113" s="55"/>
    </row>
    <row r="114" spans="1:7" ht="30" customHeight="1" x14ac:dyDescent="0.25">
      <c r="A114" s="162"/>
      <c r="B114" s="31"/>
      <c r="C114" s="31"/>
      <c r="D114" s="31"/>
      <c r="E114" s="55"/>
    </row>
    <row r="115" spans="1:7" ht="30" customHeight="1" thickBot="1" x14ac:dyDescent="0.3">
      <c r="A115" s="187"/>
      <c r="B115" s="187"/>
      <c r="C115" s="187"/>
      <c r="D115" s="187"/>
      <c r="E115" s="187"/>
      <c r="F115" s="187"/>
    </row>
    <row r="116" spans="1:7" s="11" customFormat="1" ht="38.25" customHeight="1" thickBot="1" x14ac:dyDescent="0.3">
      <c r="A116" s="188" t="s">
        <v>69</v>
      </c>
      <c r="B116" s="189"/>
      <c r="C116" s="189"/>
      <c r="D116" s="189"/>
      <c r="E116" s="189"/>
      <c r="F116" s="190"/>
      <c r="G116" s="85"/>
    </row>
    <row r="117" spans="1:7" s="11" customFormat="1" ht="38.25" customHeight="1" thickBot="1" x14ac:dyDescent="0.3">
      <c r="A117" s="176" t="s">
        <v>70</v>
      </c>
      <c r="B117" s="177"/>
      <c r="C117" s="177"/>
      <c r="D117" s="178"/>
      <c r="E117" s="181">
        <f>E40</f>
        <v>292787.51999999996</v>
      </c>
      <c r="F117" s="182"/>
      <c r="G117" s="85"/>
    </row>
    <row r="118" spans="1:7" s="11" customFormat="1" ht="38.25" customHeight="1" thickBot="1" x14ac:dyDescent="0.3">
      <c r="A118" s="176" t="s">
        <v>71</v>
      </c>
      <c r="B118" s="177"/>
      <c r="C118" s="177"/>
      <c r="D118" s="178"/>
      <c r="E118" s="181">
        <f>C90+D90</f>
        <v>159624.6</v>
      </c>
      <c r="F118" s="182"/>
      <c r="G118" s="85"/>
    </row>
    <row r="119" spans="1:7" s="11" customFormat="1" ht="38.25" customHeight="1" thickBot="1" x14ac:dyDescent="0.3">
      <c r="A119" s="176" t="s">
        <v>72</v>
      </c>
      <c r="B119" s="177"/>
      <c r="C119" s="177"/>
      <c r="D119" s="178"/>
      <c r="E119" s="183">
        <f>E37-(E118-E39)</f>
        <v>133162.91999999995</v>
      </c>
      <c r="F119" s="184"/>
      <c r="G119" s="85"/>
    </row>
    <row r="120" spans="1:7" s="11" customFormat="1" ht="38.25" customHeight="1" thickBot="1" x14ac:dyDescent="0.3">
      <c r="A120" s="176" t="s">
        <v>73</v>
      </c>
      <c r="B120" s="177"/>
      <c r="C120" s="177"/>
      <c r="D120" s="178"/>
      <c r="E120" s="179">
        <v>0</v>
      </c>
      <c r="F120" s="180"/>
      <c r="G120" s="85"/>
    </row>
    <row r="121" spans="1:7" s="11" customFormat="1" ht="38.25" customHeight="1" thickBot="1" x14ac:dyDescent="0.3">
      <c r="A121" s="176" t="s">
        <v>74</v>
      </c>
      <c r="B121" s="177"/>
      <c r="C121" s="177"/>
      <c r="D121" s="178"/>
      <c r="E121" s="183">
        <f>E119-E120</f>
        <v>133162.91999999995</v>
      </c>
      <c r="F121" s="184"/>
      <c r="G121" s="29"/>
    </row>
    <row r="122" spans="1:7" ht="30" customHeight="1" x14ac:dyDescent="0.25">
      <c r="A122" s="34"/>
      <c r="B122" s="33"/>
      <c r="C122" s="33"/>
      <c r="D122" s="33"/>
      <c r="G122" s="56"/>
    </row>
    <row r="123" spans="1:7" ht="30" customHeight="1" x14ac:dyDescent="0.25">
      <c r="A123" s="200" t="s">
        <v>75</v>
      </c>
      <c r="B123" s="200"/>
      <c r="C123" s="200"/>
      <c r="D123" s="200"/>
      <c r="E123" s="200"/>
      <c r="F123" s="200"/>
    </row>
    <row r="124" spans="1:7" ht="30" customHeight="1" x14ac:dyDescent="0.25">
      <c r="A124" s="200"/>
      <c r="B124" s="200"/>
      <c r="C124" s="200"/>
      <c r="D124" s="200"/>
      <c r="E124" s="200"/>
      <c r="F124" s="200"/>
    </row>
    <row r="125" spans="1:7" ht="30" customHeight="1" x14ac:dyDescent="0.25">
      <c r="A125" s="161"/>
      <c r="B125" s="161"/>
      <c r="C125" s="161"/>
      <c r="D125" s="161"/>
      <c r="E125" s="161"/>
      <c r="F125" s="161"/>
    </row>
    <row r="126" spans="1:7" ht="30" customHeight="1" x14ac:dyDescent="0.25">
      <c r="A126" s="161"/>
      <c r="B126" s="161"/>
      <c r="C126" s="161"/>
      <c r="D126" s="161"/>
      <c r="E126" s="161"/>
      <c r="F126" s="161"/>
    </row>
    <row r="127" spans="1:7" ht="30" customHeight="1" x14ac:dyDescent="0.25">
      <c r="A127" s="161"/>
      <c r="B127" s="161"/>
      <c r="C127" s="161"/>
      <c r="D127" s="161"/>
      <c r="E127" s="161"/>
      <c r="F127" s="161"/>
    </row>
    <row r="128" spans="1:7" ht="30" customHeight="1" x14ac:dyDescent="0.25">
      <c r="A128" s="161"/>
      <c r="B128" s="161"/>
      <c r="C128" s="161"/>
      <c r="D128" s="161"/>
      <c r="E128" s="161"/>
      <c r="F128" s="161"/>
    </row>
    <row r="129" spans="1:9" ht="30" customHeight="1" x14ac:dyDescent="0.25">
      <c r="A129" s="66"/>
      <c r="B129" s="67"/>
      <c r="C129" s="67"/>
      <c r="D129" s="67"/>
      <c r="E129" s="68"/>
      <c r="F129" s="11"/>
    </row>
    <row r="130" spans="1:9" ht="30" customHeight="1" x14ac:dyDescent="0.25">
      <c r="A130" s="69" t="s">
        <v>95</v>
      </c>
      <c r="B130" s="70"/>
      <c r="C130" s="70"/>
      <c r="D130" s="70"/>
      <c r="E130" s="71"/>
      <c r="F130" s="72"/>
    </row>
    <row r="131" spans="1:9" ht="30" customHeight="1" x14ac:dyDescent="0.25">
      <c r="A131" s="69"/>
      <c r="B131" s="70"/>
      <c r="C131" s="70"/>
      <c r="D131" s="70"/>
      <c r="E131" s="71"/>
      <c r="F131" s="72"/>
    </row>
    <row r="132" spans="1:9" ht="30" customHeight="1" x14ac:dyDescent="0.25">
      <c r="A132" s="69"/>
      <c r="B132" s="70"/>
      <c r="C132" s="70"/>
      <c r="D132" s="70"/>
      <c r="E132" s="71"/>
      <c r="F132" s="72"/>
    </row>
    <row r="133" spans="1:9" ht="30" customHeight="1" x14ac:dyDescent="0.25">
      <c r="A133" s="69"/>
      <c r="B133" s="70"/>
      <c r="C133" s="70"/>
      <c r="D133" s="70"/>
      <c r="E133" s="71"/>
      <c r="F133" s="72"/>
    </row>
    <row r="134" spans="1:9" ht="30" customHeight="1" x14ac:dyDescent="0.25">
      <c r="A134" s="69"/>
      <c r="B134" s="70"/>
      <c r="C134" s="70"/>
      <c r="D134" s="70"/>
      <c r="E134" s="71"/>
      <c r="F134" s="72"/>
    </row>
    <row r="135" spans="1:9" ht="30" customHeight="1" x14ac:dyDescent="0.25">
      <c r="A135" s="69"/>
      <c r="B135" s="70"/>
      <c r="C135" s="70"/>
      <c r="D135" s="70"/>
      <c r="E135" s="71"/>
      <c r="F135" s="72"/>
    </row>
    <row r="136" spans="1:9" s="76" customFormat="1" ht="30" customHeight="1" x14ac:dyDescent="0.45">
      <c r="B136" s="75" t="s">
        <v>232</v>
      </c>
      <c r="C136" s="5"/>
      <c r="D136" s="75" t="s">
        <v>237</v>
      </c>
      <c r="G136" s="98"/>
      <c r="H136" s="99"/>
      <c r="I136" s="99"/>
    </row>
    <row r="137" spans="1:9" s="76" customFormat="1" ht="30" customHeight="1" x14ac:dyDescent="0.45">
      <c r="B137" s="74" t="s">
        <v>233</v>
      </c>
      <c r="C137" s="5"/>
      <c r="E137" s="150" t="s">
        <v>236</v>
      </c>
      <c r="G137" s="98"/>
      <c r="H137" s="99"/>
      <c r="I137" s="99"/>
    </row>
    <row r="138" spans="1:9" s="77" customFormat="1" ht="30" customHeight="1" x14ac:dyDescent="0.4">
      <c r="B138" s="78"/>
      <c r="C138" s="78"/>
      <c r="D138" s="78"/>
      <c r="E138" s="78"/>
      <c r="F138" s="6"/>
      <c r="G138" s="100"/>
      <c r="H138" s="100"/>
      <c r="I138" s="100"/>
    </row>
    <row r="139" spans="1:9" s="77" customFormat="1" ht="30" x14ac:dyDescent="0.4">
      <c r="B139" s="78"/>
      <c r="C139" s="78"/>
      <c r="D139" s="78"/>
      <c r="E139" s="78"/>
      <c r="F139" s="6"/>
      <c r="G139" s="100"/>
      <c r="H139" s="100"/>
      <c r="I139" s="100"/>
    </row>
    <row r="140" spans="1:9" s="77" customFormat="1" ht="30" x14ac:dyDescent="0.4">
      <c r="B140" s="78"/>
      <c r="C140" s="78"/>
      <c r="D140" s="78"/>
      <c r="E140" s="78"/>
      <c r="F140" s="6"/>
      <c r="G140" s="100"/>
      <c r="H140" s="100"/>
      <c r="I140" s="100"/>
    </row>
    <row r="141" spans="1:9" s="77" customFormat="1" ht="30" x14ac:dyDescent="0.4">
      <c r="B141" s="78"/>
      <c r="C141" s="78"/>
      <c r="D141" s="78"/>
      <c r="E141" s="78"/>
      <c r="F141" s="6"/>
      <c r="G141" s="100"/>
      <c r="H141" s="100"/>
      <c r="I141" s="100"/>
    </row>
    <row r="142" spans="1:9" s="77" customFormat="1" ht="30" x14ac:dyDescent="0.4">
      <c r="B142" s="78"/>
      <c r="C142" s="78"/>
      <c r="D142" s="78"/>
      <c r="E142" s="78"/>
      <c r="F142" s="6"/>
      <c r="G142" s="100"/>
      <c r="H142" s="100"/>
      <c r="I142" s="100"/>
    </row>
    <row r="143" spans="1:9" s="77" customFormat="1" ht="30" x14ac:dyDescent="0.4">
      <c r="B143" s="78"/>
      <c r="C143" s="80" t="s">
        <v>76</v>
      </c>
      <c r="E143" s="78"/>
      <c r="F143" s="6"/>
      <c r="G143" s="100"/>
      <c r="H143" s="100"/>
      <c r="I143" s="100"/>
    </row>
    <row r="144" spans="1:9" s="77" customFormat="1" ht="30" x14ac:dyDescent="0.4">
      <c r="C144" s="201" t="s">
        <v>77</v>
      </c>
      <c r="D144" s="201"/>
      <c r="F144" s="6"/>
      <c r="G144" s="100"/>
      <c r="H144" s="100"/>
      <c r="I144" s="100"/>
    </row>
    <row r="145" spans="1:9" s="77" customFormat="1" ht="30" x14ac:dyDescent="0.4">
      <c r="B145" s="79"/>
      <c r="C145" s="80"/>
      <c r="F145" s="6"/>
      <c r="G145" s="100"/>
      <c r="H145" s="100"/>
      <c r="I145" s="100"/>
    </row>
    <row r="146" spans="1:9" s="77" customFormat="1" ht="30" x14ac:dyDescent="0.4">
      <c r="B146" s="79"/>
      <c r="C146" s="201"/>
      <c r="D146" s="201"/>
      <c r="E146" s="78"/>
      <c r="F146" s="6"/>
      <c r="G146" s="100"/>
      <c r="H146" s="100"/>
      <c r="I146" s="100"/>
    </row>
    <row r="150" spans="1:9" x14ac:dyDescent="0.25">
      <c r="E150" s="32"/>
    </row>
    <row r="153" spans="1:9" ht="30" x14ac:dyDescent="0.25">
      <c r="A153" s="81"/>
      <c r="B153" s="13"/>
      <c r="C153" s="13"/>
      <c r="D153" s="13"/>
      <c r="E153" s="11"/>
    </row>
    <row r="154" spans="1:9" ht="30" x14ac:dyDescent="0.25">
      <c r="A154" s="81"/>
      <c r="B154" s="13"/>
      <c r="C154" s="13"/>
      <c r="D154" s="13"/>
      <c r="E154" s="11"/>
    </row>
    <row r="157" spans="1:9" ht="48.75" customHeight="1" x14ac:dyDescent="0.25">
      <c r="B157" s="13"/>
      <c r="C157" s="13"/>
      <c r="D157" s="13"/>
      <c r="E157" s="11"/>
    </row>
    <row r="158" spans="1:9" ht="48.75" customHeight="1" x14ac:dyDescent="0.25">
      <c r="B158" s="13"/>
      <c r="C158" s="13"/>
      <c r="D158" s="13"/>
      <c r="E158" s="11"/>
    </row>
    <row r="164" spans="2:6" x14ac:dyDescent="0.25">
      <c r="B164" s="13"/>
      <c r="C164" s="13"/>
      <c r="D164" s="13"/>
      <c r="E164" s="11"/>
      <c r="F164" s="7"/>
    </row>
    <row r="165" spans="2:6" x14ac:dyDescent="0.25">
      <c r="B165" s="13"/>
      <c r="C165" s="13"/>
      <c r="D165" s="13"/>
      <c r="E165" s="11"/>
      <c r="F165" s="8"/>
    </row>
    <row r="167" spans="2:6" ht="30" x14ac:dyDescent="0.25">
      <c r="B167" s="81"/>
      <c r="C167" s="81"/>
      <c r="D167" s="81"/>
      <c r="E167" s="82"/>
    </row>
    <row r="168" spans="2:6" ht="30" x14ac:dyDescent="0.25">
      <c r="B168" s="81"/>
      <c r="C168" s="83"/>
      <c r="D168" s="160"/>
      <c r="E168" s="44"/>
    </row>
    <row r="171" spans="2:6" ht="30" x14ac:dyDescent="0.25">
      <c r="B171" s="199"/>
      <c r="C171" s="199"/>
      <c r="D171" s="81"/>
      <c r="E171" s="82"/>
    </row>
    <row r="172" spans="2:6" ht="30" x14ac:dyDescent="0.25">
      <c r="B172" s="199"/>
      <c r="C172" s="199"/>
      <c r="D172" s="199"/>
      <c r="E172" s="199"/>
    </row>
    <row r="178" spans="2:5" ht="30" x14ac:dyDescent="0.25">
      <c r="B178" s="199"/>
      <c r="C178" s="199"/>
      <c r="D178" s="81"/>
      <c r="E178" s="82"/>
    </row>
    <row r="179" spans="2:5" ht="30" x14ac:dyDescent="0.25">
      <c r="B179" s="199"/>
      <c r="C179" s="199"/>
      <c r="D179" s="83"/>
      <c r="E179" s="39"/>
    </row>
  </sheetData>
  <sheetProtection algorithmName="SHA-512" hashValue="zCR8dyCVCaUxXO0KwZqUC98kfWzH52HEPP0TyNslBENVLr/wYgNuxLkx+wqNWffCjWTL8reSO6MbuIlOPlHpsw==" saltValue="if/8Wmvf8TEj4fBMhrdN7g==" spinCount="100000" sheet="1" objects="1" scenarios="1" selectLockedCells="1" selectUnlockedCells="1"/>
  <mergeCells count="56">
    <mergeCell ref="B178:C178"/>
    <mergeCell ref="B179:C179"/>
    <mergeCell ref="A121:D121"/>
    <mergeCell ref="E121:F121"/>
    <mergeCell ref="A123:F124"/>
    <mergeCell ref="C146:D146"/>
    <mergeCell ref="B171:C171"/>
    <mergeCell ref="B172:C172"/>
    <mergeCell ref="D172:E172"/>
    <mergeCell ref="A118:D118"/>
    <mergeCell ref="E118:F118"/>
    <mergeCell ref="A119:D119"/>
    <mergeCell ref="E119:F119"/>
    <mergeCell ref="A120:D120"/>
    <mergeCell ref="E120:F120"/>
    <mergeCell ref="A59:F60"/>
    <mergeCell ref="A65:F65"/>
    <mergeCell ref="A115:F115"/>
    <mergeCell ref="A116:F116"/>
    <mergeCell ref="A117:D117"/>
    <mergeCell ref="E117:F117"/>
    <mergeCell ref="A43:C43"/>
    <mergeCell ref="A35:D35"/>
    <mergeCell ref="E35:F35"/>
    <mergeCell ref="A36:D36"/>
    <mergeCell ref="E36:F36"/>
    <mergeCell ref="A37:D37"/>
    <mergeCell ref="E37:F37"/>
    <mergeCell ref="A38:F38"/>
    <mergeCell ref="A39:D39"/>
    <mergeCell ref="E39:F39"/>
    <mergeCell ref="A40:D40"/>
    <mergeCell ref="E40:F40"/>
    <mergeCell ref="E30:F30"/>
    <mergeCell ref="A33:D33"/>
    <mergeCell ref="E33:F33"/>
    <mergeCell ref="A34:D34"/>
    <mergeCell ref="E34:F34"/>
    <mergeCell ref="E31:F31"/>
    <mergeCell ref="E32:F32"/>
    <mergeCell ref="A18:F20"/>
    <mergeCell ref="C144:D144"/>
    <mergeCell ref="A28:F28"/>
    <mergeCell ref="A1:E1"/>
    <mergeCell ref="A8:E8"/>
    <mergeCell ref="A9:F9"/>
    <mergeCell ref="A10:F10"/>
    <mergeCell ref="A24:B24"/>
    <mergeCell ref="E24:F24"/>
    <mergeCell ref="A25:B25"/>
    <mergeCell ref="E25:F25"/>
    <mergeCell ref="A26:B26"/>
    <mergeCell ref="E26:F26"/>
    <mergeCell ref="A27:B27"/>
    <mergeCell ref="E27:F27"/>
    <mergeCell ref="E29:F29"/>
  </mergeCells>
  <printOptions horizontalCentered="1"/>
  <pageMargins left="0.39370078740157483" right="0.39370078740157483" top="0.39370078740157483" bottom="0.39370078740157483" header="0.11811023622047245" footer="0.51181102362204722"/>
  <pageSetup paperSize="9" scale="34" orientation="portrait" r:id="rId1"/>
  <rowBreaks count="2" manualBreakCount="2">
    <brk id="49" max="5" man="1"/>
    <brk id="107"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193"/>
  <sheetViews>
    <sheetView view="pageBreakPreview" zoomScale="50" zoomScaleNormal="50" zoomScaleSheetLayoutView="50" workbookViewId="0">
      <selection activeCell="B3" sqref="B3"/>
    </sheetView>
  </sheetViews>
  <sheetFormatPr defaultColWidth="0" defaultRowHeight="26.25" x14ac:dyDescent="0.25"/>
  <cols>
    <col min="1" max="1" width="44.140625" style="14" customWidth="1"/>
    <col min="2" max="2" width="46.42578125" style="15" customWidth="1"/>
    <col min="3" max="4" width="44.140625" style="15" customWidth="1"/>
    <col min="5" max="5" width="44.140625" style="16" customWidth="1"/>
    <col min="6" max="6" width="44.140625" style="1" customWidth="1"/>
    <col min="7" max="7" width="37.42578125" style="169" customWidth="1"/>
    <col min="8" max="8" width="32.140625" style="169" bestFit="1" customWidth="1"/>
    <col min="9" max="9" width="29.5703125" style="169" bestFit="1" customWidth="1"/>
    <col min="10" max="10" width="29" style="169" customWidth="1"/>
    <col min="11" max="11" width="27.42578125" style="13" bestFit="1" customWidth="1"/>
    <col min="12" max="14" width="9.140625" style="13" customWidth="1"/>
    <col min="15" max="15" width="1.7109375" style="13" customWidth="1"/>
    <col min="16" max="27" width="9.140625" style="13" customWidth="1"/>
    <col min="28" max="28" width="1.42578125" style="13" customWidth="1"/>
    <col min="29" max="51" width="9.140625" style="13" customWidth="1"/>
    <col min="52" max="52" width="1.28515625" style="13" customWidth="1"/>
    <col min="53" max="73" width="9.140625" style="13" customWidth="1"/>
    <col min="74" max="74" width="1.28515625" style="13" customWidth="1"/>
    <col min="75" max="92" width="9.140625" style="13" customWidth="1"/>
    <col min="93" max="93" width="0.42578125" style="13" customWidth="1"/>
    <col min="94" max="94" width="1.140625" style="13" customWidth="1"/>
    <col min="95" max="117" width="9.140625" style="13" customWidth="1"/>
    <col min="118" max="118" width="1.7109375" style="13" customWidth="1"/>
    <col min="119" max="164" width="9.140625" style="13" customWidth="1"/>
    <col min="165" max="165" width="3.42578125" style="13" customWidth="1"/>
    <col min="166" max="188" width="9.140625" style="13" customWidth="1"/>
    <col min="189" max="189" width="2" style="13" customWidth="1"/>
    <col min="190" max="190" width="8" style="13" customWidth="1"/>
    <col min="191" max="195" width="9.140625" style="13" customWidth="1"/>
    <col min="196" max="196" width="8.7109375" style="13" customWidth="1"/>
    <col min="197" max="205" width="9.140625" style="13" customWidth="1"/>
    <col min="206" max="206" width="3.7109375" style="13" customWidth="1"/>
    <col min="207" max="208" width="9.140625" style="13" customWidth="1"/>
    <col min="209" max="209" width="2" style="13" customWidth="1"/>
    <col min="210" max="210" width="8" style="13" customWidth="1"/>
    <col min="211" max="215" width="9.140625" style="13" customWidth="1"/>
    <col min="216" max="216" width="8.7109375" style="13" customWidth="1"/>
    <col min="217" max="225" width="9.140625" style="13" customWidth="1"/>
    <col min="226" max="226" width="3.7109375" style="13" customWidth="1"/>
    <col min="227" max="228" width="9.140625" style="13" customWidth="1"/>
    <col min="229" max="229" width="2" style="13" customWidth="1"/>
    <col min="230" max="230" width="8" style="13" customWidth="1"/>
    <col min="231" max="235" width="9.140625" style="13" customWidth="1"/>
    <col min="236" max="236" width="8.7109375" style="13" customWidth="1"/>
    <col min="237" max="245" width="9.140625" style="13" customWidth="1"/>
    <col min="246" max="246" width="3.7109375" style="13" customWidth="1"/>
    <col min="247" max="247" width="9.140625" style="13" customWidth="1"/>
    <col min="248" max="254" width="0" style="13" hidden="1" customWidth="1"/>
    <col min="255" max="16384" width="9.140625" style="13" hidden="1"/>
  </cols>
  <sheetData>
    <row r="1" spans="1:10" ht="30" customHeight="1" x14ac:dyDescent="0.25">
      <c r="A1" s="187"/>
      <c r="B1" s="187"/>
      <c r="C1" s="187"/>
      <c r="D1" s="187"/>
      <c r="E1" s="187"/>
      <c r="F1" s="11"/>
    </row>
    <row r="2" spans="1:10" ht="30" customHeight="1" x14ac:dyDescent="0.25">
      <c r="A2" s="86"/>
      <c r="B2" s="86"/>
      <c r="C2" s="86"/>
      <c r="D2" s="86"/>
      <c r="E2" s="86"/>
      <c r="F2" s="11"/>
    </row>
    <row r="3" spans="1:10" ht="30" customHeight="1" x14ac:dyDescent="0.25">
      <c r="A3" s="86"/>
      <c r="B3" s="86"/>
      <c r="C3" s="86"/>
      <c r="D3" s="86"/>
      <c r="E3" s="86"/>
      <c r="F3" s="11"/>
    </row>
    <row r="4" spans="1:10" ht="30" customHeight="1" x14ac:dyDescent="0.25">
      <c r="A4" s="86"/>
      <c r="B4" s="86"/>
      <c r="C4" s="86"/>
      <c r="D4" s="86"/>
      <c r="E4" s="86"/>
      <c r="F4" s="11"/>
    </row>
    <row r="5" spans="1:10" ht="30" customHeight="1" x14ac:dyDescent="0.25">
      <c r="A5" s="86"/>
      <c r="B5" s="86"/>
      <c r="C5" s="86"/>
      <c r="D5" s="86"/>
      <c r="E5" s="86"/>
      <c r="F5" s="11"/>
    </row>
    <row r="6" spans="1:10" ht="30" customHeight="1" x14ac:dyDescent="0.25">
      <c r="A6" s="86"/>
      <c r="B6" s="86"/>
      <c r="C6" s="86"/>
      <c r="D6" s="86"/>
      <c r="E6" s="86"/>
      <c r="F6" s="11"/>
    </row>
    <row r="7" spans="1:10" ht="30" customHeight="1" x14ac:dyDescent="0.25">
      <c r="A7" s="86"/>
      <c r="B7" s="86"/>
      <c r="C7" s="86"/>
      <c r="D7" s="86"/>
      <c r="E7" s="86"/>
      <c r="F7" s="11"/>
    </row>
    <row r="8" spans="1:10" ht="30" customHeight="1" x14ac:dyDescent="0.25">
      <c r="A8" s="187"/>
      <c r="B8" s="187"/>
      <c r="C8" s="187"/>
      <c r="D8" s="187"/>
      <c r="E8" s="187"/>
      <c r="F8" s="11"/>
    </row>
    <row r="9" spans="1:10" ht="30" customHeight="1" x14ac:dyDescent="0.25">
      <c r="A9" s="217" t="s">
        <v>92</v>
      </c>
      <c r="B9" s="217"/>
      <c r="C9" s="217"/>
      <c r="D9" s="217"/>
      <c r="E9" s="217"/>
      <c r="F9" s="217"/>
    </row>
    <row r="10" spans="1:10" ht="30" customHeight="1" x14ac:dyDescent="0.25">
      <c r="A10" s="217" t="s">
        <v>1</v>
      </c>
      <c r="B10" s="217"/>
      <c r="C10" s="217"/>
      <c r="D10" s="217"/>
      <c r="E10" s="217"/>
      <c r="F10" s="217"/>
    </row>
    <row r="11" spans="1:10" ht="30" customHeight="1" x14ac:dyDescent="0.25"/>
    <row r="12" spans="1:10" s="11" customFormat="1" ht="30" customHeight="1" x14ac:dyDescent="0.25">
      <c r="A12" s="17" t="s">
        <v>86</v>
      </c>
      <c r="B12" s="18"/>
      <c r="C12" s="18"/>
      <c r="D12" s="18"/>
      <c r="E12" s="18"/>
      <c r="G12" s="169"/>
      <c r="H12" s="169"/>
      <c r="I12" s="169"/>
      <c r="J12" s="169"/>
    </row>
    <row r="13" spans="1:10" s="11" customFormat="1" ht="30" customHeight="1" x14ac:dyDescent="0.25">
      <c r="A13" s="17" t="s">
        <v>87</v>
      </c>
      <c r="B13" s="18"/>
      <c r="C13" s="18"/>
      <c r="D13" s="18"/>
      <c r="E13" s="18"/>
      <c r="G13" s="169"/>
      <c r="H13" s="169"/>
      <c r="I13" s="169"/>
      <c r="J13" s="169"/>
    </row>
    <row r="14" spans="1:10" s="11" customFormat="1" ht="30" customHeight="1" x14ac:dyDescent="0.25">
      <c r="A14" s="17" t="s">
        <v>88</v>
      </c>
      <c r="B14" s="18"/>
      <c r="C14" s="18"/>
      <c r="D14" s="18"/>
      <c r="E14" s="18"/>
      <c r="G14" s="169"/>
      <c r="H14" s="169"/>
      <c r="I14" s="169"/>
      <c r="J14" s="169"/>
    </row>
    <row r="15" spans="1:10" s="11" customFormat="1" ht="30" customHeight="1" x14ac:dyDescent="0.25">
      <c r="A15" s="17" t="s">
        <v>89</v>
      </c>
      <c r="B15" s="18"/>
      <c r="C15" s="18"/>
      <c r="D15" s="18"/>
      <c r="E15" s="18"/>
      <c r="G15" s="169"/>
      <c r="H15" s="169"/>
      <c r="I15" s="169"/>
      <c r="J15" s="169"/>
    </row>
    <row r="16" spans="1:10" s="11" customFormat="1" ht="30" customHeight="1" x14ac:dyDescent="0.25">
      <c r="A16" s="17" t="s">
        <v>90</v>
      </c>
      <c r="B16" s="18"/>
      <c r="C16" s="18"/>
      <c r="D16" s="18"/>
      <c r="E16" s="18"/>
      <c r="G16" s="169"/>
      <c r="H16" s="169"/>
      <c r="I16" s="169"/>
      <c r="J16" s="169"/>
    </row>
    <row r="17" spans="1:10" s="11" customFormat="1" ht="30" customHeight="1" x14ac:dyDescent="0.25">
      <c r="A17" s="17" t="s">
        <v>242</v>
      </c>
      <c r="B17" s="18"/>
      <c r="C17" s="18"/>
      <c r="D17" s="18"/>
      <c r="E17" s="18"/>
      <c r="G17" s="169"/>
      <c r="H17" s="169"/>
      <c r="I17" s="169"/>
      <c r="J17" s="169"/>
    </row>
    <row r="18" spans="1:10" s="11" customFormat="1" ht="30" customHeight="1" x14ac:dyDescent="0.25">
      <c r="A18" s="219" t="s">
        <v>219</v>
      </c>
      <c r="B18" s="219"/>
      <c r="C18" s="219"/>
      <c r="D18" s="219"/>
      <c r="E18" s="219"/>
      <c r="F18" s="219"/>
      <c r="G18" s="169"/>
      <c r="H18" s="169"/>
      <c r="I18" s="169"/>
      <c r="J18" s="169"/>
    </row>
    <row r="19" spans="1:10" s="11" customFormat="1" ht="30" customHeight="1" x14ac:dyDescent="0.25">
      <c r="A19" s="219"/>
      <c r="B19" s="219"/>
      <c r="C19" s="219"/>
      <c r="D19" s="219"/>
      <c r="E19" s="219"/>
      <c r="F19" s="219"/>
      <c r="G19" s="169"/>
      <c r="H19" s="169"/>
      <c r="I19" s="169"/>
      <c r="J19" s="169"/>
    </row>
    <row r="20" spans="1:10" s="11" customFormat="1" ht="50.25" customHeight="1" x14ac:dyDescent="0.25">
      <c r="A20" s="219"/>
      <c r="B20" s="219"/>
      <c r="C20" s="219"/>
      <c r="D20" s="219"/>
      <c r="E20" s="219"/>
      <c r="F20" s="219"/>
      <c r="G20" s="169"/>
      <c r="H20" s="169"/>
      <c r="I20" s="169"/>
      <c r="J20" s="169"/>
    </row>
    <row r="21" spans="1:10" s="11" customFormat="1" ht="30" customHeight="1" x14ac:dyDescent="0.25">
      <c r="A21" s="17" t="s">
        <v>96</v>
      </c>
      <c r="B21" s="18"/>
      <c r="C21" s="18"/>
      <c r="D21" s="18"/>
      <c r="E21" s="18"/>
      <c r="F21" s="2"/>
      <c r="G21" s="171"/>
      <c r="H21" s="169"/>
      <c r="I21" s="169"/>
      <c r="J21" s="169"/>
    </row>
    <row r="22" spans="1:10" s="11" customFormat="1" ht="30" customHeight="1" x14ac:dyDescent="0.25">
      <c r="A22" s="17" t="s">
        <v>240</v>
      </c>
      <c r="B22" s="18"/>
      <c r="C22" s="18"/>
      <c r="D22" s="18"/>
      <c r="E22" s="18"/>
      <c r="F22" s="1"/>
      <c r="G22" s="169"/>
      <c r="H22" s="169"/>
      <c r="I22" s="169"/>
      <c r="J22" s="169"/>
    </row>
    <row r="23" spans="1:10" ht="30" customHeight="1" thickBot="1" x14ac:dyDescent="0.3">
      <c r="A23" s="20"/>
      <c r="B23" s="21"/>
      <c r="C23" s="21"/>
      <c r="D23" s="21"/>
      <c r="E23" s="18"/>
    </row>
    <row r="24" spans="1:10" s="11" customFormat="1" ht="37.5" customHeight="1" thickBot="1" x14ac:dyDescent="0.3">
      <c r="A24" s="188" t="s">
        <v>2</v>
      </c>
      <c r="B24" s="190"/>
      <c r="C24" s="22" t="s">
        <v>3</v>
      </c>
      <c r="D24" s="22" t="s">
        <v>4</v>
      </c>
      <c r="E24" s="188" t="s">
        <v>5</v>
      </c>
      <c r="F24" s="190"/>
      <c r="G24" s="169"/>
      <c r="H24" s="169"/>
      <c r="I24" s="169"/>
      <c r="J24" s="169"/>
    </row>
    <row r="25" spans="1:10" s="24" customFormat="1" ht="138" customHeight="1" thickBot="1" x14ac:dyDescent="0.3">
      <c r="A25" s="220" t="s">
        <v>222</v>
      </c>
      <c r="B25" s="221"/>
      <c r="C25" s="88">
        <v>44876</v>
      </c>
      <c r="D25" s="88">
        <v>45838</v>
      </c>
      <c r="E25" s="222">
        <v>600654</v>
      </c>
      <c r="F25" s="223"/>
      <c r="G25" s="172"/>
      <c r="H25" s="173"/>
      <c r="I25" s="173"/>
      <c r="J25" s="173"/>
    </row>
    <row r="26" spans="1:10" s="24" customFormat="1" ht="138" customHeight="1" thickBot="1" x14ac:dyDescent="0.3">
      <c r="A26" s="220" t="s">
        <v>223</v>
      </c>
      <c r="B26" s="221"/>
      <c r="C26" s="88">
        <v>44923</v>
      </c>
      <c r="D26" s="88">
        <v>45838</v>
      </c>
      <c r="E26" s="222">
        <v>1356612.88</v>
      </c>
      <c r="F26" s="223"/>
      <c r="G26" s="172"/>
      <c r="H26" s="173"/>
      <c r="I26" s="173"/>
      <c r="J26" s="173"/>
    </row>
    <row r="27" spans="1:10" s="24" customFormat="1" ht="142.5" customHeight="1" thickBot="1" x14ac:dyDescent="0.3">
      <c r="A27" s="220" t="s">
        <v>221</v>
      </c>
      <c r="B27" s="221"/>
      <c r="C27" s="88">
        <v>44927</v>
      </c>
      <c r="D27" s="88">
        <v>45291</v>
      </c>
      <c r="E27" s="216">
        <v>84724152</v>
      </c>
      <c r="F27" s="213"/>
      <c r="G27" s="172"/>
      <c r="H27" s="173"/>
      <c r="I27" s="173"/>
      <c r="J27" s="173"/>
    </row>
    <row r="28" spans="1:10" s="24" customFormat="1" ht="262.5" customHeight="1" thickBot="1" x14ac:dyDescent="0.3">
      <c r="A28" s="220" t="s">
        <v>226</v>
      </c>
      <c r="B28" s="221"/>
      <c r="C28" s="88">
        <v>45244</v>
      </c>
      <c r="D28" s="88">
        <v>45807</v>
      </c>
      <c r="E28" s="222">
        <v>1290896.7</v>
      </c>
      <c r="F28" s="223"/>
      <c r="G28" s="172"/>
      <c r="H28" s="173"/>
      <c r="I28" s="173"/>
      <c r="J28" s="173"/>
    </row>
    <row r="29" spans="1:10" s="24" customFormat="1" ht="196.5" customHeight="1" thickBot="1" x14ac:dyDescent="0.3">
      <c r="A29" s="220" t="s">
        <v>227</v>
      </c>
      <c r="B29" s="221"/>
      <c r="C29" s="88">
        <v>45264</v>
      </c>
      <c r="D29" s="88">
        <v>45807</v>
      </c>
      <c r="E29" s="222">
        <v>417996.84</v>
      </c>
      <c r="F29" s="223"/>
      <c r="G29" s="172"/>
      <c r="H29" s="173"/>
      <c r="I29" s="173"/>
      <c r="J29" s="173"/>
    </row>
    <row r="30" spans="1:10" s="11" customFormat="1" ht="60" customHeight="1" thickBot="1" x14ac:dyDescent="0.3">
      <c r="A30" s="188" t="s">
        <v>6</v>
      </c>
      <c r="B30" s="189"/>
      <c r="C30" s="189"/>
      <c r="D30" s="189"/>
      <c r="E30" s="189"/>
      <c r="F30" s="190"/>
      <c r="G30" s="169"/>
      <c r="H30" s="169"/>
      <c r="I30" s="169"/>
      <c r="J30" s="169"/>
    </row>
    <row r="31" spans="1:10" s="11" customFormat="1" ht="101.25" customHeight="1" thickBot="1" x14ac:dyDescent="0.3">
      <c r="A31" s="25" t="s">
        <v>82</v>
      </c>
      <c r="B31" s="25" t="s">
        <v>7</v>
      </c>
      <c r="C31" s="22" t="s">
        <v>8</v>
      </c>
      <c r="D31" s="25" t="s">
        <v>9</v>
      </c>
      <c r="E31" s="227" t="s">
        <v>10</v>
      </c>
      <c r="F31" s="227"/>
      <c r="G31" s="169"/>
      <c r="H31" s="169"/>
      <c r="I31" s="169"/>
      <c r="J31" s="169"/>
    </row>
    <row r="32" spans="1:10" s="11" customFormat="1" ht="47.25" customHeight="1" thickBot="1" x14ac:dyDescent="0.3">
      <c r="A32" s="90" t="s">
        <v>113</v>
      </c>
      <c r="B32" s="91">
        <v>7060346</v>
      </c>
      <c r="C32" s="92">
        <v>44932</v>
      </c>
      <c r="D32" s="93" t="s">
        <v>114</v>
      </c>
      <c r="E32" s="224">
        <v>7060346</v>
      </c>
      <c r="F32" s="225"/>
      <c r="G32" s="169"/>
      <c r="H32" s="169"/>
      <c r="I32" s="169"/>
      <c r="J32" s="169"/>
    </row>
    <row r="33" spans="1:10" s="11" customFormat="1" ht="47.25" customHeight="1" thickBot="1" x14ac:dyDescent="0.3">
      <c r="A33" s="153" t="s">
        <v>115</v>
      </c>
      <c r="B33" s="152">
        <v>7060346</v>
      </c>
      <c r="C33" s="92">
        <v>44963</v>
      </c>
      <c r="D33" s="93" t="s">
        <v>117</v>
      </c>
      <c r="E33" s="224">
        <v>7060346</v>
      </c>
      <c r="F33" s="225"/>
      <c r="G33" s="169"/>
      <c r="H33" s="169"/>
      <c r="I33" s="169"/>
      <c r="J33" s="169"/>
    </row>
    <row r="34" spans="1:10" s="11" customFormat="1" ht="47.25" customHeight="1" thickBot="1" x14ac:dyDescent="0.3">
      <c r="A34" s="153" t="s">
        <v>116</v>
      </c>
      <c r="B34" s="152">
        <v>7060346</v>
      </c>
      <c r="C34" s="92">
        <v>44991</v>
      </c>
      <c r="D34" s="93" t="s">
        <v>118</v>
      </c>
      <c r="E34" s="224">
        <v>7060346</v>
      </c>
      <c r="F34" s="225"/>
      <c r="G34" s="169"/>
      <c r="H34" s="169"/>
      <c r="I34" s="169"/>
      <c r="J34" s="169"/>
    </row>
    <row r="35" spans="1:10" s="11" customFormat="1" ht="47.25" customHeight="1" thickBot="1" x14ac:dyDescent="0.3">
      <c r="A35" s="153" t="s">
        <v>124</v>
      </c>
      <c r="B35" s="152">
        <v>7060346</v>
      </c>
      <c r="C35" s="92">
        <v>45022</v>
      </c>
      <c r="D35" s="93" t="s">
        <v>125</v>
      </c>
      <c r="E35" s="224">
        <f>7060346</f>
        <v>7060346</v>
      </c>
      <c r="F35" s="225"/>
      <c r="G35" s="169"/>
      <c r="H35" s="169"/>
      <c r="I35" s="169"/>
      <c r="J35" s="169"/>
    </row>
    <row r="36" spans="1:10" s="11" customFormat="1" ht="47.25" customHeight="1" thickBot="1" x14ac:dyDescent="0.3">
      <c r="A36" s="153" t="s">
        <v>136</v>
      </c>
      <c r="B36" s="152">
        <v>7060346</v>
      </c>
      <c r="C36" s="92">
        <v>45051</v>
      </c>
      <c r="D36" s="93" t="s">
        <v>137</v>
      </c>
      <c r="E36" s="224">
        <f>7060346</f>
        <v>7060346</v>
      </c>
      <c r="F36" s="225"/>
      <c r="G36" s="169"/>
      <c r="H36" s="169"/>
      <c r="I36" s="169"/>
      <c r="J36" s="169"/>
    </row>
    <row r="37" spans="1:10" s="11" customFormat="1" ht="47.25" customHeight="1" thickBot="1" x14ac:dyDescent="0.3">
      <c r="A37" s="153" t="s">
        <v>141</v>
      </c>
      <c r="B37" s="152">
        <v>7060346</v>
      </c>
      <c r="C37" s="92">
        <v>45083</v>
      </c>
      <c r="D37" s="93" t="s">
        <v>142</v>
      </c>
      <c r="E37" s="224">
        <f t="shared" ref="E37:E42" si="0">B37</f>
        <v>7060346</v>
      </c>
      <c r="F37" s="225"/>
      <c r="G37" s="169"/>
      <c r="H37" s="169"/>
      <c r="I37" s="169"/>
      <c r="J37" s="169"/>
    </row>
    <row r="38" spans="1:10" s="11" customFormat="1" ht="47.25" customHeight="1" thickBot="1" x14ac:dyDescent="0.3">
      <c r="A38" s="153" t="s">
        <v>148</v>
      </c>
      <c r="B38" s="152">
        <v>7060346</v>
      </c>
      <c r="C38" s="92">
        <v>45113</v>
      </c>
      <c r="D38" s="93" t="s">
        <v>149</v>
      </c>
      <c r="E38" s="224">
        <f t="shared" si="0"/>
        <v>7060346</v>
      </c>
      <c r="F38" s="225"/>
      <c r="G38" s="169"/>
      <c r="H38" s="169"/>
      <c r="I38" s="169"/>
      <c r="J38" s="169"/>
    </row>
    <row r="39" spans="1:10" s="11" customFormat="1" ht="47.25" customHeight="1" thickBot="1" x14ac:dyDescent="0.3">
      <c r="A39" s="153" t="s">
        <v>155</v>
      </c>
      <c r="B39" s="152">
        <v>7060346</v>
      </c>
      <c r="C39" s="92">
        <v>45142</v>
      </c>
      <c r="D39" s="93" t="s">
        <v>156</v>
      </c>
      <c r="E39" s="224">
        <f t="shared" si="0"/>
        <v>7060346</v>
      </c>
      <c r="F39" s="225"/>
      <c r="G39" s="169"/>
      <c r="H39" s="169"/>
      <c r="I39" s="169"/>
      <c r="J39" s="169"/>
    </row>
    <row r="40" spans="1:10" s="11" customFormat="1" ht="47.25" customHeight="1" thickBot="1" x14ac:dyDescent="0.3">
      <c r="A40" s="153" t="s">
        <v>159</v>
      </c>
      <c r="B40" s="152">
        <v>7060346</v>
      </c>
      <c r="C40" s="92">
        <v>45175</v>
      </c>
      <c r="D40" s="93" t="s">
        <v>160</v>
      </c>
      <c r="E40" s="224">
        <f t="shared" si="0"/>
        <v>7060346</v>
      </c>
      <c r="F40" s="225"/>
      <c r="G40" s="169"/>
      <c r="H40" s="169"/>
      <c r="I40" s="169"/>
      <c r="J40" s="169"/>
    </row>
    <row r="41" spans="1:10" s="11" customFormat="1" ht="47.25" customHeight="1" thickBot="1" x14ac:dyDescent="0.3">
      <c r="A41" s="153" t="s">
        <v>171</v>
      </c>
      <c r="B41" s="152">
        <v>7060346</v>
      </c>
      <c r="C41" s="92">
        <v>45205</v>
      </c>
      <c r="D41" s="93" t="s">
        <v>177</v>
      </c>
      <c r="E41" s="224">
        <f t="shared" si="0"/>
        <v>7060346</v>
      </c>
      <c r="F41" s="225"/>
      <c r="G41" s="169"/>
      <c r="H41" s="169"/>
      <c r="I41" s="169"/>
      <c r="J41" s="169"/>
    </row>
    <row r="42" spans="1:10" s="11" customFormat="1" ht="47.25" customHeight="1" thickBot="1" x14ac:dyDescent="0.3">
      <c r="A42" s="153" t="s">
        <v>185</v>
      </c>
      <c r="B42" s="152">
        <v>7060346</v>
      </c>
      <c r="C42" s="92">
        <v>45237</v>
      </c>
      <c r="D42" s="93" t="s">
        <v>186</v>
      </c>
      <c r="E42" s="224">
        <f t="shared" si="0"/>
        <v>7060346</v>
      </c>
      <c r="F42" s="225"/>
      <c r="G42" s="169"/>
      <c r="H42" s="169"/>
      <c r="I42" s="169"/>
      <c r="J42" s="169"/>
    </row>
    <row r="43" spans="1:10" s="11" customFormat="1" ht="47.25" customHeight="1" thickBot="1" x14ac:dyDescent="0.3">
      <c r="A43" s="153" t="s">
        <v>208</v>
      </c>
      <c r="B43" s="152">
        <v>7060346</v>
      </c>
      <c r="C43" s="92">
        <v>45266</v>
      </c>
      <c r="D43" s="93" t="s">
        <v>209</v>
      </c>
      <c r="E43" s="224">
        <f>B43</f>
        <v>7060346</v>
      </c>
      <c r="F43" s="225"/>
      <c r="G43" s="169"/>
      <c r="H43" s="169"/>
      <c r="I43" s="169"/>
      <c r="J43" s="169"/>
    </row>
    <row r="44" spans="1:10" s="11" customFormat="1" ht="42.75" customHeight="1" thickBot="1" x14ac:dyDescent="0.3">
      <c r="A44" s="228" t="s">
        <v>208</v>
      </c>
      <c r="B44" s="231">
        <v>1290896.7</v>
      </c>
      <c r="C44" s="101">
        <v>45261</v>
      </c>
      <c r="D44" s="93" t="s">
        <v>215</v>
      </c>
      <c r="E44" s="224">
        <v>645448.35</v>
      </c>
      <c r="F44" s="225"/>
      <c r="G44" s="169"/>
      <c r="H44" s="169"/>
      <c r="I44" s="169"/>
      <c r="J44" s="169"/>
    </row>
    <row r="45" spans="1:10" s="11" customFormat="1" ht="42.75" customHeight="1" thickBot="1" x14ac:dyDescent="0.3">
      <c r="A45" s="229"/>
      <c r="B45" s="232"/>
      <c r="C45" s="101">
        <v>45271</v>
      </c>
      <c r="D45" s="93" t="s">
        <v>216</v>
      </c>
      <c r="E45" s="224">
        <v>645448.35</v>
      </c>
      <c r="F45" s="225"/>
      <c r="G45" s="169"/>
      <c r="H45" s="169"/>
      <c r="I45" s="169"/>
      <c r="J45" s="169"/>
    </row>
    <row r="46" spans="1:10" s="11" customFormat="1" ht="42.75" customHeight="1" thickBot="1" x14ac:dyDescent="0.3">
      <c r="A46" s="230"/>
      <c r="B46" s="168">
        <v>417996.84</v>
      </c>
      <c r="C46" s="101">
        <v>45282</v>
      </c>
      <c r="D46" s="93" t="s">
        <v>217</v>
      </c>
      <c r="E46" s="224">
        <v>417996.84</v>
      </c>
      <c r="F46" s="225"/>
      <c r="G46" s="169"/>
      <c r="H46" s="169"/>
      <c r="I46" s="169"/>
      <c r="J46" s="169"/>
    </row>
    <row r="47" spans="1:10" s="11" customFormat="1" ht="38.1" customHeight="1" thickBot="1" x14ac:dyDescent="0.3">
      <c r="A47" s="186" t="s">
        <v>83</v>
      </c>
      <c r="B47" s="186"/>
      <c r="C47" s="186"/>
      <c r="D47" s="186"/>
      <c r="E47" s="181">
        <f>4449293.83+607932.68+1356612.88</f>
        <v>6413839.3899999997</v>
      </c>
      <c r="F47" s="182"/>
      <c r="G47" s="169"/>
      <c r="H47" s="169"/>
      <c r="I47" s="169"/>
      <c r="J47" s="169"/>
    </row>
    <row r="48" spans="1:10" s="11" customFormat="1" ht="37.5" customHeight="1" thickBot="1" x14ac:dyDescent="0.3">
      <c r="A48" s="186" t="s">
        <v>84</v>
      </c>
      <c r="B48" s="186"/>
      <c r="C48" s="186"/>
      <c r="D48" s="186"/>
      <c r="E48" s="185">
        <f>SUM(E32:F46)</f>
        <v>86433045.539999992</v>
      </c>
      <c r="F48" s="185"/>
      <c r="G48" s="174"/>
      <c r="H48" s="169"/>
      <c r="I48" s="169"/>
      <c r="J48" s="169"/>
    </row>
    <row r="49" spans="1:10" s="11" customFormat="1" ht="37.5" customHeight="1" thickBot="1" x14ac:dyDescent="0.3">
      <c r="A49" s="176" t="s">
        <v>11</v>
      </c>
      <c r="B49" s="177"/>
      <c r="C49" s="177"/>
      <c r="D49" s="178"/>
      <c r="E49" s="185">
        <f>156765.61+53273.99+66715.87+72025.07+75148.58+82478.48+78094.95+81402.98+76643.39+66908.87+13966.62+151573.48+7944.9+162.07</f>
        <v>983104.85999999987</v>
      </c>
      <c r="F49" s="185"/>
      <c r="G49" s="174"/>
      <c r="H49" s="169"/>
      <c r="I49" s="169"/>
      <c r="J49" s="169"/>
    </row>
    <row r="50" spans="1:10" s="11" customFormat="1" ht="38.1" customHeight="1" thickBot="1" x14ac:dyDescent="0.3">
      <c r="A50" s="186" t="s">
        <v>12</v>
      </c>
      <c r="B50" s="186"/>
      <c r="C50" s="186"/>
      <c r="D50" s="186"/>
      <c r="E50" s="185">
        <f>12.6</f>
        <v>12.6</v>
      </c>
      <c r="F50" s="185"/>
      <c r="G50" s="169"/>
      <c r="H50" s="169"/>
      <c r="I50" s="169"/>
      <c r="J50" s="169"/>
    </row>
    <row r="51" spans="1:10" s="11" customFormat="1" ht="38.1" customHeight="1" thickBot="1" x14ac:dyDescent="0.3">
      <c r="A51" s="186" t="s">
        <v>13</v>
      </c>
      <c r="B51" s="186"/>
      <c r="C51" s="186"/>
      <c r="D51" s="186"/>
      <c r="E51" s="197">
        <f>SUM(E47:F50)</f>
        <v>93830002.389999986</v>
      </c>
      <c r="F51" s="197"/>
      <c r="G51" s="169"/>
      <c r="H51" s="169"/>
      <c r="I51" s="169"/>
      <c r="J51" s="169"/>
    </row>
    <row r="52" spans="1:10" s="11" customFormat="1" ht="38.1" customHeight="1" thickBot="1" x14ac:dyDescent="0.3">
      <c r="A52" s="198"/>
      <c r="B52" s="198"/>
      <c r="C52" s="198"/>
      <c r="D52" s="198"/>
      <c r="E52" s="198"/>
      <c r="F52" s="198"/>
      <c r="G52" s="169"/>
      <c r="H52" s="169"/>
      <c r="I52" s="169"/>
      <c r="J52" s="169"/>
    </row>
    <row r="53" spans="1:10" s="11" customFormat="1" ht="38.1" customHeight="1" thickBot="1" x14ac:dyDescent="0.3">
      <c r="A53" s="186" t="s">
        <v>14</v>
      </c>
      <c r="B53" s="186"/>
      <c r="C53" s="186"/>
      <c r="D53" s="186"/>
      <c r="E53" s="185">
        <v>0</v>
      </c>
      <c r="F53" s="185"/>
      <c r="G53" s="169"/>
      <c r="H53" s="169"/>
      <c r="I53" s="169"/>
      <c r="J53" s="169"/>
    </row>
    <row r="54" spans="1:10" s="11" customFormat="1" ht="38.1" customHeight="1" thickBot="1" x14ac:dyDescent="0.3">
      <c r="A54" s="186" t="s">
        <v>15</v>
      </c>
      <c r="B54" s="186"/>
      <c r="C54" s="186"/>
      <c r="D54" s="186"/>
      <c r="E54" s="191">
        <f>E51+E53</f>
        <v>93830002.389999986</v>
      </c>
      <c r="F54" s="191"/>
      <c r="G54" s="169"/>
      <c r="H54" s="169"/>
      <c r="I54" s="169"/>
      <c r="J54" s="169"/>
    </row>
    <row r="55" spans="1:10" ht="30" customHeight="1" x14ac:dyDescent="0.25">
      <c r="A55" s="30" t="s">
        <v>16</v>
      </c>
      <c r="B55" s="31"/>
      <c r="C55" s="31"/>
      <c r="D55" s="31"/>
      <c r="E55" s="32"/>
    </row>
    <row r="56" spans="1:10" ht="30" customHeight="1" x14ac:dyDescent="0.25">
      <c r="A56" s="30" t="s">
        <v>17</v>
      </c>
      <c r="B56" s="31"/>
      <c r="C56" s="31"/>
      <c r="D56" s="33"/>
    </row>
    <row r="57" spans="1:10" ht="30" customHeight="1" x14ac:dyDescent="0.25">
      <c r="A57" s="192" t="s">
        <v>85</v>
      </c>
      <c r="B57" s="192"/>
      <c r="C57" s="192"/>
      <c r="D57" s="97"/>
    </row>
    <row r="58" spans="1:10" ht="30" customHeight="1" x14ac:dyDescent="0.25">
      <c r="A58" s="34"/>
      <c r="B58" s="33"/>
      <c r="C58" s="33"/>
      <c r="D58" s="33"/>
      <c r="F58" s="11"/>
    </row>
    <row r="59" spans="1:10" ht="30" customHeight="1" x14ac:dyDescent="0.25">
      <c r="A59" s="35"/>
      <c r="B59" s="35"/>
      <c r="C59" s="35"/>
      <c r="D59" s="35"/>
      <c r="E59" s="35"/>
      <c r="F59" s="35"/>
    </row>
    <row r="60" spans="1:10" ht="30" customHeight="1" x14ac:dyDescent="0.25">
      <c r="A60" s="35"/>
      <c r="B60" s="35"/>
      <c r="C60" s="35"/>
      <c r="D60" s="35"/>
      <c r="E60" s="35"/>
      <c r="F60" s="35"/>
    </row>
    <row r="61" spans="1:10" ht="30" customHeight="1" x14ac:dyDescent="0.25">
      <c r="A61" s="35"/>
      <c r="B61" s="35"/>
      <c r="C61" s="35"/>
      <c r="D61" s="35"/>
      <c r="E61" s="35"/>
      <c r="F61" s="35"/>
    </row>
    <row r="62" spans="1:10" ht="30" customHeight="1" x14ac:dyDescent="0.25">
      <c r="A62" s="35"/>
      <c r="B62" s="35"/>
      <c r="C62" s="35"/>
      <c r="D62" s="35"/>
      <c r="E62" s="35"/>
      <c r="F62" s="35"/>
    </row>
    <row r="63" spans="1:10" ht="30" customHeight="1" x14ac:dyDescent="0.25">
      <c r="A63" s="35"/>
      <c r="B63" s="35"/>
      <c r="C63" s="35"/>
      <c r="D63" s="35"/>
      <c r="E63" s="35"/>
      <c r="F63" s="35"/>
    </row>
    <row r="64" spans="1:10" ht="30" customHeight="1" x14ac:dyDescent="0.25">
      <c r="A64" s="35"/>
      <c r="B64" s="35"/>
      <c r="C64" s="35"/>
      <c r="D64" s="35"/>
      <c r="E64" s="35"/>
      <c r="F64" s="35"/>
    </row>
    <row r="65" spans="1:10" ht="30" customHeight="1" x14ac:dyDescent="0.25">
      <c r="A65" s="35"/>
      <c r="B65" s="35"/>
      <c r="C65" s="35"/>
      <c r="D65" s="35"/>
      <c r="E65" s="35"/>
      <c r="F65" s="35"/>
    </row>
    <row r="66" spans="1:10" ht="30" customHeight="1" x14ac:dyDescent="0.25">
      <c r="A66" s="35"/>
      <c r="B66" s="35"/>
      <c r="C66" s="35"/>
      <c r="D66" s="35"/>
      <c r="E66" s="35"/>
      <c r="F66" s="35"/>
    </row>
    <row r="67" spans="1:10" ht="30" customHeight="1" x14ac:dyDescent="0.25">
      <c r="A67" s="35"/>
      <c r="B67" s="35"/>
      <c r="C67" s="35"/>
      <c r="D67" s="35"/>
      <c r="E67" s="35"/>
      <c r="F67" s="35"/>
    </row>
    <row r="68" spans="1:10" ht="30" customHeight="1" x14ac:dyDescent="0.25">
      <c r="A68" s="35"/>
      <c r="B68" s="35"/>
      <c r="C68" s="35"/>
      <c r="D68" s="35"/>
      <c r="E68" s="35"/>
      <c r="F68" s="35"/>
    </row>
    <row r="69" spans="1:10" ht="30" customHeight="1" x14ac:dyDescent="0.25">
      <c r="A69" s="35"/>
      <c r="B69" s="35"/>
      <c r="C69" s="35"/>
      <c r="D69" s="35"/>
      <c r="E69" s="35"/>
      <c r="F69" s="35"/>
    </row>
    <row r="70" spans="1:10" ht="30" customHeight="1" x14ac:dyDescent="0.25">
      <c r="A70" s="35"/>
      <c r="B70" s="35"/>
      <c r="C70" s="35"/>
      <c r="D70" s="35"/>
      <c r="E70" s="35"/>
      <c r="F70" s="35"/>
    </row>
    <row r="71" spans="1:10" ht="30" customHeight="1" x14ac:dyDescent="0.25">
      <c r="A71" s="35"/>
      <c r="B71" s="35"/>
      <c r="C71" s="35"/>
      <c r="D71" s="35"/>
      <c r="E71" s="35"/>
      <c r="F71" s="35"/>
    </row>
    <row r="72" spans="1:10" ht="30" customHeight="1" x14ac:dyDescent="0.25">
      <c r="A72" s="35"/>
      <c r="B72" s="35"/>
      <c r="C72" s="35"/>
      <c r="D72" s="35"/>
      <c r="E72" s="35"/>
      <c r="F72" s="35"/>
    </row>
    <row r="73" spans="1:10" ht="30" customHeight="1" x14ac:dyDescent="0.25">
      <c r="A73" s="193" t="s">
        <v>97</v>
      </c>
      <c r="B73" s="193"/>
      <c r="C73" s="193"/>
      <c r="D73" s="193"/>
      <c r="E73" s="193"/>
      <c r="F73" s="193"/>
    </row>
    <row r="74" spans="1:10" ht="30" customHeight="1" x14ac:dyDescent="0.25">
      <c r="A74" s="193"/>
      <c r="B74" s="193"/>
      <c r="C74" s="193"/>
      <c r="D74" s="193"/>
      <c r="E74" s="193"/>
      <c r="F74" s="193"/>
    </row>
    <row r="75" spans="1:10" ht="30" customHeight="1" x14ac:dyDescent="0.25">
      <c r="A75" s="35"/>
      <c r="B75" s="35"/>
      <c r="C75" s="35"/>
      <c r="D75" s="35"/>
      <c r="E75" s="35"/>
      <c r="F75" s="35"/>
    </row>
    <row r="76" spans="1:10" ht="30" customHeight="1" x14ac:dyDescent="0.25">
      <c r="A76" s="35"/>
      <c r="B76" s="35"/>
      <c r="C76" s="35"/>
      <c r="D76" s="35"/>
      <c r="E76" s="35"/>
      <c r="F76" s="35"/>
    </row>
    <row r="77" spans="1:10" ht="30" customHeight="1" x14ac:dyDescent="0.25">
      <c r="A77" s="35"/>
      <c r="B77" s="35"/>
      <c r="C77" s="35"/>
      <c r="D77" s="35"/>
      <c r="E77" s="35"/>
      <c r="F77" s="35"/>
    </row>
    <row r="78" spans="1:10" ht="30" customHeight="1" thickBot="1" x14ac:dyDescent="0.3">
      <c r="A78" s="35"/>
      <c r="B78" s="35"/>
      <c r="C78" s="35"/>
      <c r="D78" s="35"/>
      <c r="E78" s="35"/>
      <c r="F78" s="35"/>
    </row>
    <row r="79" spans="1:10" s="11" customFormat="1" ht="37.5" customHeight="1" thickBot="1" x14ac:dyDescent="0.3">
      <c r="A79" s="194" t="s">
        <v>18</v>
      </c>
      <c r="B79" s="195"/>
      <c r="C79" s="195"/>
      <c r="D79" s="195"/>
      <c r="E79" s="195"/>
      <c r="F79" s="196"/>
      <c r="G79" s="169"/>
      <c r="H79" s="169"/>
      <c r="I79" s="169"/>
      <c r="J79" s="169"/>
    </row>
    <row r="80" spans="1:10" s="11" customFormat="1" ht="37.5" customHeight="1" thickBot="1" x14ac:dyDescent="0.3">
      <c r="A80" s="36" t="s">
        <v>93</v>
      </c>
      <c r="B80" s="37"/>
      <c r="C80" s="37"/>
      <c r="D80" s="37"/>
      <c r="E80" s="37"/>
      <c r="F80" s="3"/>
      <c r="G80" s="169"/>
      <c r="H80" s="169"/>
      <c r="I80" s="169"/>
      <c r="J80" s="169"/>
    </row>
    <row r="81" spans="1:10" s="11" customFormat="1" ht="33" customHeight="1" x14ac:dyDescent="0.25">
      <c r="A81" s="38"/>
      <c r="B81" s="39"/>
      <c r="C81" s="40" t="s">
        <v>19</v>
      </c>
      <c r="D81" s="40" t="s">
        <v>19</v>
      </c>
      <c r="E81" s="40" t="s">
        <v>20</v>
      </c>
      <c r="F81" s="40" t="s">
        <v>19</v>
      </c>
      <c r="G81" s="169"/>
      <c r="H81" s="169"/>
      <c r="I81" s="169"/>
      <c r="J81" s="169"/>
    </row>
    <row r="82" spans="1:10" s="11" customFormat="1" ht="33" customHeight="1" x14ac:dyDescent="0.25">
      <c r="A82" s="40" t="s">
        <v>21</v>
      </c>
      <c r="B82" s="41" t="s">
        <v>19</v>
      </c>
      <c r="C82" s="40" t="s">
        <v>22</v>
      </c>
      <c r="D82" s="40" t="s">
        <v>22</v>
      </c>
      <c r="E82" s="40" t="s">
        <v>19</v>
      </c>
      <c r="F82" s="40" t="s">
        <v>22</v>
      </c>
      <c r="G82" s="169"/>
      <c r="H82" s="169"/>
      <c r="I82" s="169"/>
      <c r="J82" s="169"/>
    </row>
    <row r="83" spans="1:10" s="11" customFormat="1" ht="33" customHeight="1" x14ac:dyDescent="0.25">
      <c r="A83" s="40" t="s">
        <v>23</v>
      </c>
      <c r="B83" s="41" t="s">
        <v>22</v>
      </c>
      <c r="C83" s="40" t="s">
        <v>24</v>
      </c>
      <c r="D83" s="40" t="s">
        <v>25</v>
      </c>
      <c r="E83" s="40" t="s">
        <v>26</v>
      </c>
      <c r="F83" s="40" t="s">
        <v>27</v>
      </c>
      <c r="G83" s="169"/>
      <c r="H83" s="169"/>
      <c r="I83" s="169"/>
      <c r="J83" s="169"/>
    </row>
    <row r="84" spans="1:10" s="11" customFormat="1" ht="33" customHeight="1" x14ac:dyDescent="0.25">
      <c r="A84" s="40" t="s">
        <v>28</v>
      </c>
      <c r="B84" s="41" t="s">
        <v>29</v>
      </c>
      <c r="C84" s="40" t="s">
        <v>30</v>
      </c>
      <c r="D84" s="40" t="s">
        <v>31</v>
      </c>
      <c r="E84" s="40" t="s">
        <v>29</v>
      </c>
      <c r="F84" s="40" t="s">
        <v>32</v>
      </c>
      <c r="G84" s="169"/>
      <c r="H84" s="169"/>
      <c r="I84" s="169"/>
      <c r="J84" s="169"/>
    </row>
    <row r="85" spans="1:10" s="11" customFormat="1" ht="33" customHeight="1" x14ac:dyDescent="0.25">
      <c r="A85" s="38"/>
      <c r="B85" s="41" t="s">
        <v>33</v>
      </c>
      <c r="C85" s="40" t="s">
        <v>34</v>
      </c>
      <c r="D85" s="40" t="s">
        <v>33</v>
      </c>
      <c r="E85" s="40" t="s">
        <v>35</v>
      </c>
      <c r="F85" s="40" t="s">
        <v>36</v>
      </c>
      <c r="G85" s="169"/>
      <c r="H85" s="169"/>
      <c r="I85" s="169"/>
      <c r="J85" s="169"/>
    </row>
    <row r="86" spans="1:10" s="11" customFormat="1" ht="33" customHeight="1" x14ac:dyDescent="0.25">
      <c r="A86" s="38"/>
      <c r="B86" s="42"/>
      <c r="C86" s="40" t="s">
        <v>33</v>
      </c>
      <c r="D86" s="40" t="s">
        <v>37</v>
      </c>
      <c r="E86" s="40" t="s">
        <v>38</v>
      </c>
      <c r="F86" s="40" t="s">
        <v>39</v>
      </c>
      <c r="G86" s="169"/>
      <c r="H86" s="169"/>
      <c r="I86" s="169"/>
      <c r="J86" s="169"/>
    </row>
    <row r="87" spans="1:10" s="11" customFormat="1" ht="33" customHeight="1" thickBot="1" x14ac:dyDescent="0.3">
      <c r="A87" s="43"/>
      <c r="B87" s="44"/>
      <c r="C87" s="45" t="s">
        <v>40</v>
      </c>
      <c r="D87" s="46"/>
      <c r="E87" s="47" t="s">
        <v>41</v>
      </c>
      <c r="F87" s="46"/>
      <c r="G87" s="169"/>
      <c r="H87" s="169"/>
      <c r="I87" s="169"/>
      <c r="J87" s="169"/>
    </row>
    <row r="88" spans="1:10" s="11" customFormat="1" ht="47.25" customHeight="1" thickBot="1" x14ac:dyDescent="0.3">
      <c r="A88" s="48" t="s">
        <v>42</v>
      </c>
      <c r="B88" s="49">
        <f t="shared" ref="B88:B103" si="1">D88+F88</f>
        <v>82645922.029999986</v>
      </c>
      <c r="C88" s="50">
        <f>5864840.46+433532.92+391.6</f>
        <v>6298764.9799999995</v>
      </c>
      <c r="D88" s="50">
        <f>945354.04+5073545.2+883295.31+6519378.97+6204833.58+6182155.45+6676851.92+6358443.26+6480888.83+518.8+5219569.58+1236533.45+6366879.43+9603304.52+9273693.27</f>
        <v>77025245.609999985</v>
      </c>
      <c r="E88" s="50">
        <f t="shared" ref="E88:E103" si="2">C88+D88</f>
        <v>83324010.589999989</v>
      </c>
      <c r="F88" s="51">
        <f>5619934.22+244.4+159.6+338.2</f>
        <v>5620676.4199999999</v>
      </c>
      <c r="G88" s="169"/>
      <c r="H88" s="169"/>
      <c r="I88" s="169"/>
      <c r="J88" s="169"/>
    </row>
    <row r="89" spans="1:10" s="11" customFormat="1" ht="47.25" customHeight="1" thickBot="1" x14ac:dyDescent="0.3">
      <c r="A89" s="48" t="s">
        <v>43</v>
      </c>
      <c r="B89" s="49">
        <f t="shared" si="1"/>
        <v>0</v>
      </c>
      <c r="C89" s="50">
        <v>0</v>
      </c>
      <c r="D89" s="50">
        <v>0</v>
      </c>
      <c r="E89" s="50">
        <f t="shared" si="2"/>
        <v>0</v>
      </c>
      <c r="F89" s="51">
        <v>0</v>
      </c>
      <c r="G89" s="169"/>
      <c r="H89" s="169"/>
      <c r="I89" s="169"/>
      <c r="J89" s="169"/>
    </row>
    <row r="90" spans="1:10" s="11" customFormat="1" ht="47.25" customHeight="1" thickBot="1" x14ac:dyDescent="0.3">
      <c r="A90" s="48" t="s">
        <v>44</v>
      </c>
      <c r="B90" s="49">
        <f t="shared" si="1"/>
        <v>300984.09999999998</v>
      </c>
      <c r="C90" s="50">
        <v>0</v>
      </c>
      <c r="D90" s="50">
        <f>300984.1</f>
        <v>300984.09999999998</v>
      </c>
      <c r="E90" s="50">
        <f t="shared" si="2"/>
        <v>300984.09999999998</v>
      </c>
      <c r="F90" s="51">
        <v>0</v>
      </c>
      <c r="G90" s="169"/>
      <c r="H90" s="169"/>
      <c r="I90" s="169"/>
      <c r="J90" s="169"/>
    </row>
    <row r="91" spans="1:10" s="11" customFormat="1" ht="53.25" customHeight="1" thickBot="1" x14ac:dyDescent="0.3">
      <c r="A91" s="52" t="s">
        <v>45</v>
      </c>
      <c r="B91" s="49">
        <f>D91+F91</f>
        <v>445995.79</v>
      </c>
      <c r="C91" s="50">
        <v>0</v>
      </c>
      <c r="D91" s="50">
        <f>372103.79</f>
        <v>372103.79</v>
      </c>
      <c r="E91" s="50">
        <f t="shared" si="2"/>
        <v>372103.79</v>
      </c>
      <c r="F91" s="51">
        <f>73892</f>
        <v>73892</v>
      </c>
      <c r="G91" s="169"/>
      <c r="H91" s="169"/>
      <c r="I91" s="169"/>
      <c r="J91" s="169"/>
    </row>
    <row r="92" spans="1:10" s="11" customFormat="1" ht="47.25" customHeight="1" thickBot="1" x14ac:dyDescent="0.3">
      <c r="A92" s="48" t="s">
        <v>46</v>
      </c>
      <c r="B92" s="49">
        <f t="shared" si="1"/>
        <v>90634.64</v>
      </c>
      <c r="C92" s="50">
        <v>0</v>
      </c>
      <c r="D92" s="50">
        <f>90634.64</f>
        <v>90634.64</v>
      </c>
      <c r="E92" s="50">
        <f t="shared" si="2"/>
        <v>90634.64</v>
      </c>
      <c r="F92" s="51">
        <v>0</v>
      </c>
      <c r="G92" s="169"/>
      <c r="H92" s="169"/>
      <c r="I92" s="169"/>
      <c r="J92" s="169"/>
    </row>
    <row r="93" spans="1:10" s="11" customFormat="1" ht="54" customHeight="1" thickBot="1" x14ac:dyDescent="0.3">
      <c r="A93" s="52" t="s">
        <v>47</v>
      </c>
      <c r="B93" s="49">
        <f t="shared" si="1"/>
        <v>55103.92</v>
      </c>
      <c r="C93" s="50">
        <v>0</v>
      </c>
      <c r="D93" s="50">
        <f>55103.92</f>
        <v>55103.92</v>
      </c>
      <c r="E93" s="50">
        <f t="shared" si="2"/>
        <v>55103.92</v>
      </c>
      <c r="F93" s="51">
        <v>0</v>
      </c>
      <c r="G93" s="169"/>
      <c r="H93" s="169"/>
      <c r="I93" s="169"/>
      <c r="J93" s="169"/>
    </row>
    <row r="94" spans="1:10" s="11" customFormat="1" ht="47.25" customHeight="1" thickBot="1" x14ac:dyDescent="0.3">
      <c r="A94" s="48" t="s">
        <v>48</v>
      </c>
      <c r="B94" s="49">
        <f t="shared" si="1"/>
        <v>0</v>
      </c>
      <c r="C94" s="50">
        <v>0</v>
      </c>
      <c r="D94" s="50">
        <v>0</v>
      </c>
      <c r="E94" s="50">
        <f t="shared" si="2"/>
        <v>0</v>
      </c>
      <c r="F94" s="51">
        <v>0</v>
      </c>
      <c r="G94" s="169"/>
      <c r="H94" s="169"/>
      <c r="I94" s="169"/>
      <c r="J94" s="169"/>
    </row>
    <row r="95" spans="1:10" s="11" customFormat="1" ht="55.5" customHeight="1" thickBot="1" x14ac:dyDescent="0.3">
      <c r="A95" s="52" t="s">
        <v>49</v>
      </c>
      <c r="B95" s="49">
        <f t="shared" si="1"/>
        <v>45379.519999999997</v>
      </c>
      <c r="C95" s="50">
        <v>0</v>
      </c>
      <c r="D95" s="50">
        <f>45070.75</f>
        <v>45070.75</v>
      </c>
      <c r="E95" s="50">
        <f t="shared" si="2"/>
        <v>45070.75</v>
      </c>
      <c r="F95" s="51">
        <f>308.77</f>
        <v>308.77</v>
      </c>
      <c r="G95" s="169"/>
      <c r="H95" s="169"/>
      <c r="I95" s="169"/>
      <c r="J95" s="169"/>
    </row>
    <row r="96" spans="1:10" s="11" customFormat="1" ht="47.25" customHeight="1" thickBot="1" x14ac:dyDescent="0.3">
      <c r="A96" s="48" t="s">
        <v>50</v>
      </c>
      <c r="B96" s="49">
        <f t="shared" si="1"/>
        <v>0</v>
      </c>
      <c r="C96" s="50">
        <v>0</v>
      </c>
      <c r="D96" s="50">
        <v>0</v>
      </c>
      <c r="E96" s="50">
        <f t="shared" si="2"/>
        <v>0</v>
      </c>
      <c r="F96" s="51">
        <v>0</v>
      </c>
      <c r="G96" s="171"/>
      <c r="H96" s="169"/>
      <c r="I96" s="169"/>
      <c r="J96" s="169"/>
    </row>
    <row r="97" spans="1:11" s="11" customFormat="1" ht="47.25" customHeight="1" thickBot="1" x14ac:dyDescent="0.3">
      <c r="A97" s="48" t="s">
        <v>51</v>
      </c>
      <c r="B97" s="49">
        <f t="shared" si="1"/>
        <v>4420</v>
      </c>
      <c r="C97" s="50">
        <v>0</v>
      </c>
      <c r="D97" s="50">
        <f>4420</f>
        <v>4420</v>
      </c>
      <c r="E97" s="50">
        <f t="shared" si="2"/>
        <v>4420</v>
      </c>
      <c r="F97" s="51">
        <v>0</v>
      </c>
      <c r="G97" s="169"/>
      <c r="H97" s="169"/>
      <c r="I97" s="169"/>
      <c r="J97" s="169"/>
    </row>
    <row r="98" spans="1:11" s="11" customFormat="1" ht="47.25" customHeight="1" thickBot="1" x14ac:dyDescent="0.3">
      <c r="A98" s="48" t="s">
        <v>52</v>
      </c>
      <c r="B98" s="49">
        <f t="shared" si="1"/>
        <v>88301.85</v>
      </c>
      <c r="C98" s="50">
        <f>1270.01</f>
        <v>1270.01</v>
      </c>
      <c r="D98" s="50">
        <f>88301.85</f>
        <v>88301.85</v>
      </c>
      <c r="E98" s="50">
        <f t="shared" si="2"/>
        <v>89571.86</v>
      </c>
      <c r="F98" s="51"/>
      <c r="G98" s="171"/>
      <c r="H98" s="169"/>
      <c r="I98" s="169"/>
      <c r="J98" s="169"/>
    </row>
    <row r="99" spans="1:11" s="11" customFormat="1" ht="47.25" customHeight="1" thickBot="1" x14ac:dyDescent="0.3">
      <c r="A99" s="48" t="s">
        <v>53</v>
      </c>
      <c r="B99" s="49">
        <f t="shared" si="1"/>
        <v>0</v>
      </c>
      <c r="C99" s="50">
        <v>0</v>
      </c>
      <c r="D99" s="50">
        <v>0</v>
      </c>
      <c r="E99" s="50">
        <f t="shared" si="2"/>
        <v>0</v>
      </c>
      <c r="F99" s="51">
        <v>0</v>
      </c>
      <c r="G99" s="169"/>
      <c r="H99" s="169"/>
      <c r="I99" s="169"/>
      <c r="J99" s="169"/>
    </row>
    <row r="100" spans="1:11" s="11" customFormat="1" ht="54" customHeight="1" thickBot="1" x14ac:dyDescent="0.3">
      <c r="A100" s="52" t="s">
        <v>54</v>
      </c>
      <c r="B100" s="49">
        <f>D100+F100</f>
        <v>386658</v>
      </c>
      <c r="C100" s="50">
        <f>199000</f>
        <v>199000</v>
      </c>
      <c r="D100" s="50">
        <f>386658</f>
        <v>386658</v>
      </c>
      <c r="E100" s="50">
        <f t="shared" si="2"/>
        <v>585658</v>
      </c>
      <c r="F100" s="51">
        <v>0</v>
      </c>
      <c r="G100" s="169"/>
      <c r="H100" s="169"/>
      <c r="I100" s="169"/>
      <c r="J100" s="169"/>
    </row>
    <row r="101" spans="1:11" s="11" customFormat="1" ht="47.25" customHeight="1" thickBot="1" x14ac:dyDescent="0.3">
      <c r="A101" s="48" t="s">
        <v>55</v>
      </c>
      <c r="B101" s="49">
        <f>D101+F101</f>
        <v>373896.77</v>
      </c>
      <c r="C101" s="50">
        <v>0</v>
      </c>
      <c r="D101" s="50">
        <f>371293.76</f>
        <v>371293.76</v>
      </c>
      <c r="E101" s="50">
        <f t="shared" si="2"/>
        <v>371293.76</v>
      </c>
      <c r="F101" s="51">
        <f>2603.01</f>
        <v>2603.0100000000002</v>
      </c>
      <c r="G101" s="169"/>
      <c r="H101" s="169"/>
      <c r="I101" s="169"/>
      <c r="J101" s="169"/>
    </row>
    <row r="102" spans="1:11" s="11" customFormat="1" ht="55.5" customHeight="1" thickBot="1" x14ac:dyDescent="0.3">
      <c r="A102" s="52" t="s">
        <v>56</v>
      </c>
      <c r="B102" s="49">
        <f t="shared" si="1"/>
        <v>6573.89</v>
      </c>
      <c r="C102" s="50">
        <v>0</v>
      </c>
      <c r="D102" s="50">
        <f>115+149.5+161+172.5+149.5+184+161+184+195.5+207+4523.39+371.5</f>
        <v>6573.89</v>
      </c>
      <c r="E102" s="50">
        <f t="shared" si="2"/>
        <v>6573.89</v>
      </c>
      <c r="F102" s="51">
        <v>0</v>
      </c>
      <c r="G102" s="169"/>
      <c r="H102" s="169"/>
      <c r="I102" s="169"/>
      <c r="J102" s="169"/>
    </row>
    <row r="103" spans="1:11" s="11" customFormat="1" ht="47.25" customHeight="1" thickBot="1" x14ac:dyDescent="0.3">
      <c r="A103" s="48" t="s">
        <v>57</v>
      </c>
      <c r="B103" s="49">
        <f t="shared" si="1"/>
        <v>131090.20000000001</v>
      </c>
      <c r="C103" s="50">
        <v>0</v>
      </c>
      <c r="D103" s="50">
        <f>131090.2</f>
        <v>131090.20000000001</v>
      </c>
      <c r="E103" s="50">
        <f t="shared" si="2"/>
        <v>131090.20000000001</v>
      </c>
      <c r="F103" s="51">
        <v>0</v>
      </c>
      <c r="G103" s="169"/>
      <c r="H103" s="169"/>
      <c r="I103" s="169"/>
      <c r="J103" s="169"/>
    </row>
    <row r="104" spans="1:11" s="11" customFormat="1" ht="47.25" customHeight="1" thickBot="1" x14ac:dyDescent="0.3">
      <c r="A104" s="53" t="s">
        <v>0</v>
      </c>
      <c r="B104" s="54">
        <f>SUM(B88:B103)</f>
        <v>84574960.709999979</v>
      </c>
      <c r="C104" s="54">
        <f>SUM(C88:C103)</f>
        <v>6499034.9899999993</v>
      </c>
      <c r="D104" s="54">
        <f>SUM(D88:D103)</f>
        <v>78877480.50999999</v>
      </c>
      <c r="E104" s="54">
        <f>SUM(E88:E103)</f>
        <v>85376515.5</v>
      </c>
      <c r="F104" s="54">
        <f>SUM(F88:F103)</f>
        <v>5697480.1999999993</v>
      </c>
      <c r="G104" s="169"/>
      <c r="H104" s="169"/>
      <c r="I104" s="169"/>
      <c r="J104" s="169"/>
      <c r="K104" s="169"/>
    </row>
    <row r="105" spans="1:11" ht="30" customHeight="1" x14ac:dyDescent="0.25">
      <c r="A105" s="30" t="s">
        <v>58</v>
      </c>
      <c r="B105" s="31"/>
      <c r="C105" s="31"/>
      <c r="D105" s="31"/>
      <c r="E105" s="55"/>
      <c r="K105" s="175"/>
    </row>
    <row r="106" spans="1:11" ht="30" customHeight="1" x14ac:dyDescent="0.25">
      <c r="A106" s="30" t="s">
        <v>59</v>
      </c>
      <c r="B106" s="31"/>
      <c r="C106" s="59"/>
      <c r="D106" s="4"/>
    </row>
    <row r="107" spans="1:11" ht="30" customHeight="1" x14ac:dyDescent="0.25">
      <c r="A107" s="30" t="s">
        <v>60</v>
      </c>
      <c r="B107" s="31"/>
      <c r="C107" s="57"/>
      <c r="D107" s="57"/>
      <c r="E107" s="59"/>
    </row>
    <row r="108" spans="1:11" ht="30" customHeight="1" x14ac:dyDescent="0.25">
      <c r="A108" s="30" t="s">
        <v>61</v>
      </c>
      <c r="B108" s="31"/>
      <c r="C108" s="31"/>
      <c r="D108" s="31"/>
      <c r="E108" s="55"/>
    </row>
    <row r="109" spans="1:11" ht="30" customHeight="1" x14ac:dyDescent="0.25">
      <c r="A109" s="30" t="s">
        <v>62</v>
      </c>
      <c r="B109" s="31"/>
      <c r="C109" s="31"/>
      <c r="D109" s="31"/>
      <c r="E109" s="55"/>
    </row>
    <row r="110" spans="1:11" ht="30" customHeight="1" x14ac:dyDescent="0.25">
      <c r="A110" s="30" t="s">
        <v>63</v>
      </c>
      <c r="B110" s="31"/>
      <c r="C110" s="31"/>
      <c r="D110" s="31"/>
      <c r="E110" s="55"/>
    </row>
    <row r="111" spans="1:11" ht="30" customHeight="1" x14ac:dyDescent="0.25">
      <c r="A111" s="61" t="s">
        <v>64</v>
      </c>
      <c r="B111" s="61"/>
      <c r="C111" s="61"/>
      <c r="D111" s="62"/>
      <c r="E111" s="63"/>
      <c r="F111" s="11"/>
    </row>
    <row r="112" spans="1:11" ht="30" customHeight="1" x14ac:dyDescent="0.25">
      <c r="A112" s="61" t="s">
        <v>65</v>
      </c>
      <c r="B112" s="61"/>
      <c r="C112" s="61"/>
      <c r="D112" s="64"/>
      <c r="E112" s="63"/>
      <c r="F112" s="11"/>
    </row>
    <row r="113" spans="1:6" ht="30" customHeight="1" x14ac:dyDescent="0.25">
      <c r="A113" s="61" t="s">
        <v>66</v>
      </c>
      <c r="B113" s="61"/>
      <c r="C113" s="61"/>
      <c r="D113" s="61"/>
      <c r="E113" s="63"/>
      <c r="F113" s="11"/>
    </row>
    <row r="114" spans="1:6" ht="30" customHeight="1" x14ac:dyDescent="0.25">
      <c r="A114" s="61" t="s">
        <v>67</v>
      </c>
      <c r="B114" s="61"/>
      <c r="C114" s="61"/>
      <c r="D114" s="61"/>
      <c r="E114" s="63"/>
      <c r="F114" s="11"/>
    </row>
    <row r="115" spans="1:6" ht="30" customHeight="1" x14ac:dyDescent="0.25">
      <c r="A115" s="61"/>
      <c r="B115" s="61"/>
      <c r="C115" s="61"/>
      <c r="D115" s="61"/>
      <c r="E115" s="63"/>
      <c r="F115" s="11"/>
    </row>
    <row r="116" spans="1:6" ht="30" customHeight="1" x14ac:dyDescent="0.25">
      <c r="A116" s="30" t="s">
        <v>68</v>
      </c>
      <c r="B116" s="31"/>
      <c r="C116" s="31"/>
      <c r="D116" s="31"/>
      <c r="E116" s="55"/>
    </row>
    <row r="117" spans="1:6" ht="30" customHeight="1" x14ac:dyDescent="0.25">
      <c r="A117" s="30"/>
      <c r="B117" s="31"/>
      <c r="C117" s="31"/>
      <c r="D117" s="31"/>
      <c r="E117" s="55"/>
    </row>
    <row r="118" spans="1:6" ht="30" customHeight="1" x14ac:dyDescent="0.25">
      <c r="A118" s="30"/>
      <c r="B118" s="31"/>
      <c r="C118" s="31"/>
      <c r="D118" s="31"/>
      <c r="E118" s="55"/>
    </row>
    <row r="119" spans="1:6" ht="30" customHeight="1" x14ac:dyDescent="0.25">
      <c r="A119" s="30"/>
      <c r="B119" s="31"/>
      <c r="C119" s="31"/>
      <c r="D119" s="31"/>
      <c r="E119" s="55"/>
    </row>
    <row r="120" spans="1:6" ht="30" customHeight="1" x14ac:dyDescent="0.25">
      <c r="A120" s="30"/>
      <c r="B120" s="31"/>
      <c r="C120" s="31"/>
      <c r="D120" s="31"/>
      <c r="E120" s="55"/>
    </row>
    <row r="121" spans="1:6" ht="30" customHeight="1" x14ac:dyDescent="0.25">
      <c r="A121" s="30"/>
      <c r="B121" s="31"/>
      <c r="C121" s="31"/>
      <c r="D121" s="31"/>
      <c r="E121" s="55"/>
    </row>
    <row r="122" spans="1:6" ht="30" customHeight="1" x14ac:dyDescent="0.25">
      <c r="A122" s="30"/>
      <c r="B122" s="31"/>
      <c r="C122" s="31"/>
      <c r="D122" s="31"/>
      <c r="E122" s="55"/>
    </row>
    <row r="123" spans="1:6" ht="30" customHeight="1" x14ac:dyDescent="0.25">
      <c r="A123" s="30"/>
      <c r="B123" s="31"/>
      <c r="C123" s="31"/>
      <c r="D123" s="31"/>
      <c r="E123" s="55"/>
    </row>
    <row r="124" spans="1:6" ht="30" customHeight="1" x14ac:dyDescent="0.25">
      <c r="A124" s="30"/>
      <c r="B124" s="31"/>
      <c r="C124" s="31"/>
      <c r="D124" s="31"/>
      <c r="E124" s="55"/>
    </row>
    <row r="125" spans="1:6" ht="30" customHeight="1" x14ac:dyDescent="0.25">
      <c r="A125" s="30"/>
      <c r="B125" s="31"/>
      <c r="C125" s="31"/>
      <c r="D125" s="31"/>
      <c r="E125" s="55"/>
    </row>
    <row r="126" spans="1:6" ht="30" customHeight="1" x14ac:dyDescent="0.25">
      <c r="A126" s="30"/>
      <c r="B126" s="31"/>
      <c r="C126" s="31"/>
      <c r="D126" s="31"/>
      <c r="E126" s="55"/>
    </row>
    <row r="127" spans="1:6" ht="30" customHeight="1" x14ac:dyDescent="0.25">
      <c r="A127" s="30"/>
      <c r="B127" s="31"/>
      <c r="C127" s="31"/>
      <c r="D127" s="31"/>
      <c r="E127" s="55"/>
    </row>
    <row r="128" spans="1:6" ht="30" customHeight="1" x14ac:dyDescent="0.25">
      <c r="A128" s="30"/>
      <c r="B128" s="31"/>
      <c r="C128" s="31"/>
      <c r="D128" s="31"/>
      <c r="E128" s="55"/>
    </row>
    <row r="129" spans="1:10" ht="30" customHeight="1" thickBot="1" x14ac:dyDescent="0.3">
      <c r="A129" s="187"/>
      <c r="B129" s="187"/>
      <c r="C129" s="187"/>
      <c r="D129" s="187"/>
      <c r="E129" s="187"/>
      <c r="F129" s="187"/>
    </row>
    <row r="130" spans="1:10" s="11" customFormat="1" ht="38.25" customHeight="1" thickBot="1" x14ac:dyDescent="0.3">
      <c r="A130" s="188" t="s">
        <v>69</v>
      </c>
      <c r="B130" s="189"/>
      <c r="C130" s="189"/>
      <c r="D130" s="189"/>
      <c r="E130" s="189"/>
      <c r="F130" s="190"/>
      <c r="G130" s="169"/>
      <c r="H130" s="169"/>
      <c r="I130" s="169"/>
      <c r="J130" s="169"/>
    </row>
    <row r="131" spans="1:10" s="11" customFormat="1" ht="38.25" customHeight="1" thickBot="1" x14ac:dyDescent="0.3">
      <c r="A131" s="176" t="s">
        <v>70</v>
      </c>
      <c r="B131" s="177"/>
      <c r="C131" s="177"/>
      <c r="D131" s="178"/>
      <c r="E131" s="181">
        <f>E54</f>
        <v>93830002.389999986</v>
      </c>
      <c r="F131" s="182"/>
      <c r="G131" s="169"/>
      <c r="H131" s="169"/>
      <c r="I131" s="169"/>
      <c r="J131" s="169"/>
    </row>
    <row r="132" spans="1:10" s="11" customFormat="1" ht="38.25" customHeight="1" thickBot="1" x14ac:dyDescent="0.3">
      <c r="A132" s="176" t="s">
        <v>71</v>
      </c>
      <c r="B132" s="177"/>
      <c r="C132" s="177"/>
      <c r="D132" s="178"/>
      <c r="E132" s="181">
        <f>C104+D104</f>
        <v>85376515.499999985</v>
      </c>
      <c r="F132" s="182"/>
      <c r="G132" s="169"/>
      <c r="H132" s="169"/>
      <c r="I132" s="169"/>
      <c r="J132" s="169"/>
    </row>
    <row r="133" spans="1:10" s="11" customFormat="1" ht="38.25" customHeight="1" thickBot="1" x14ac:dyDescent="0.3">
      <c r="A133" s="176" t="s">
        <v>72</v>
      </c>
      <c r="B133" s="177"/>
      <c r="C133" s="177"/>
      <c r="D133" s="178"/>
      <c r="E133" s="183">
        <f>E51-(E132-E53)</f>
        <v>8453486.8900000006</v>
      </c>
      <c r="F133" s="184"/>
      <c r="G133" s="169"/>
      <c r="H133" s="169"/>
      <c r="I133" s="169"/>
      <c r="J133" s="169"/>
    </row>
    <row r="134" spans="1:10" s="11" customFormat="1" ht="38.25" customHeight="1" thickBot="1" x14ac:dyDescent="0.3">
      <c r="A134" s="176" t="s">
        <v>73</v>
      </c>
      <c r="B134" s="177"/>
      <c r="C134" s="177"/>
      <c r="D134" s="178"/>
      <c r="E134" s="179">
        <v>0</v>
      </c>
      <c r="F134" s="180"/>
      <c r="G134" s="169"/>
      <c r="H134" s="169"/>
      <c r="I134" s="169"/>
      <c r="J134" s="169"/>
    </row>
    <row r="135" spans="1:10" s="11" customFormat="1" ht="38.25" customHeight="1" thickBot="1" x14ac:dyDescent="0.3">
      <c r="A135" s="176" t="s">
        <v>74</v>
      </c>
      <c r="B135" s="177"/>
      <c r="C135" s="177"/>
      <c r="D135" s="178"/>
      <c r="E135" s="183">
        <f>E133-E134</f>
        <v>8453486.8900000006</v>
      </c>
      <c r="F135" s="184"/>
      <c r="G135" s="169"/>
      <c r="H135" s="169"/>
      <c r="I135" s="169"/>
      <c r="J135" s="169"/>
    </row>
    <row r="136" spans="1:10" ht="30" customHeight="1" x14ac:dyDescent="0.25">
      <c r="A136" s="34"/>
      <c r="B136" s="33"/>
      <c r="C136" s="33"/>
      <c r="D136" s="33"/>
    </row>
    <row r="137" spans="1:10" ht="30" customHeight="1" x14ac:dyDescent="0.25">
      <c r="A137" s="200" t="s">
        <v>75</v>
      </c>
      <c r="B137" s="200"/>
      <c r="C137" s="200"/>
      <c r="D137" s="200"/>
      <c r="E137" s="200"/>
      <c r="F137" s="200"/>
    </row>
    <row r="138" spans="1:10" ht="30" customHeight="1" x14ac:dyDescent="0.25">
      <c r="A138" s="200"/>
      <c r="B138" s="200"/>
      <c r="C138" s="200"/>
      <c r="D138" s="200"/>
      <c r="E138" s="200"/>
      <c r="F138" s="200"/>
    </row>
    <row r="139" spans="1:10" ht="30" customHeight="1" x14ac:dyDescent="0.25">
      <c r="A139" s="65"/>
      <c r="B139" s="65"/>
      <c r="C139" s="65"/>
      <c r="D139" s="65"/>
      <c r="E139" s="65"/>
      <c r="F139" s="65"/>
    </row>
    <row r="140" spans="1:10" ht="30" customHeight="1" x14ac:dyDescent="0.25">
      <c r="A140" s="65"/>
      <c r="B140" s="65"/>
      <c r="C140" s="65"/>
      <c r="D140" s="65"/>
      <c r="E140" s="65"/>
      <c r="F140" s="65"/>
    </row>
    <row r="141" spans="1:10" ht="30" customHeight="1" x14ac:dyDescent="0.25">
      <c r="A141" s="65"/>
      <c r="B141" s="65"/>
      <c r="C141" s="65"/>
      <c r="D141" s="65"/>
      <c r="E141" s="65"/>
      <c r="F141" s="65"/>
    </row>
    <row r="142" spans="1:10" ht="30" customHeight="1" x14ac:dyDescent="0.25">
      <c r="A142" s="65"/>
      <c r="B142" s="65"/>
      <c r="C142" s="65"/>
      <c r="D142" s="65"/>
      <c r="E142" s="65"/>
      <c r="F142" s="65"/>
    </row>
    <row r="143" spans="1:10" ht="30" customHeight="1" x14ac:dyDescent="0.25">
      <c r="A143" s="66"/>
      <c r="B143" s="67"/>
      <c r="C143" s="67"/>
      <c r="D143" s="67"/>
      <c r="E143" s="68"/>
      <c r="F143" s="11"/>
    </row>
    <row r="144" spans="1:10" ht="30" customHeight="1" x14ac:dyDescent="0.25">
      <c r="A144" s="69" t="s">
        <v>95</v>
      </c>
      <c r="B144" s="70"/>
      <c r="C144" s="70"/>
      <c r="D144" s="70"/>
      <c r="E144" s="71"/>
      <c r="F144" s="72"/>
    </row>
    <row r="145" spans="1:10" ht="30" customHeight="1" x14ac:dyDescent="0.25">
      <c r="A145" s="69"/>
      <c r="B145" s="70"/>
      <c r="C145" s="70"/>
      <c r="D145" s="70"/>
      <c r="E145" s="71"/>
      <c r="F145" s="72"/>
    </row>
    <row r="146" spans="1:10" ht="30" customHeight="1" x14ac:dyDescent="0.25">
      <c r="A146" s="69"/>
      <c r="B146" s="70"/>
      <c r="C146" s="70"/>
      <c r="D146" s="70"/>
      <c r="E146" s="71"/>
      <c r="F146" s="72"/>
    </row>
    <row r="147" spans="1:10" ht="30" customHeight="1" x14ac:dyDescent="0.25">
      <c r="A147" s="69"/>
      <c r="B147" s="70"/>
      <c r="C147" s="70"/>
      <c r="D147" s="70"/>
      <c r="E147" s="71"/>
      <c r="F147" s="72"/>
    </row>
    <row r="148" spans="1:10" ht="30" customHeight="1" x14ac:dyDescent="0.25">
      <c r="A148" s="69"/>
      <c r="B148" s="70"/>
      <c r="C148" s="70"/>
      <c r="D148" s="70"/>
      <c r="E148" s="71"/>
      <c r="F148" s="72"/>
    </row>
    <row r="149" spans="1:10" ht="30" customHeight="1" x14ac:dyDescent="0.25">
      <c r="A149" s="69"/>
      <c r="B149" s="70"/>
      <c r="C149" s="70"/>
      <c r="D149" s="70"/>
      <c r="E149" s="71"/>
      <c r="F149" s="72"/>
    </row>
    <row r="150" spans="1:10" s="76" customFormat="1" ht="30" customHeight="1" x14ac:dyDescent="0.4">
      <c r="B150" s="75" t="s">
        <v>232</v>
      </c>
      <c r="C150" s="5"/>
      <c r="D150" s="75" t="s">
        <v>237</v>
      </c>
      <c r="G150" s="170"/>
      <c r="H150" s="170"/>
      <c r="I150" s="170"/>
      <c r="J150" s="170"/>
    </row>
    <row r="151" spans="1:10" s="76" customFormat="1" ht="30" customHeight="1" x14ac:dyDescent="0.4">
      <c r="B151" s="74" t="s">
        <v>233</v>
      </c>
      <c r="C151" s="5"/>
      <c r="E151" s="150" t="s">
        <v>236</v>
      </c>
      <c r="G151" s="170"/>
      <c r="H151" s="170"/>
      <c r="I151" s="170"/>
      <c r="J151" s="170"/>
    </row>
    <row r="152" spans="1:10" s="77" customFormat="1" ht="30" customHeight="1" x14ac:dyDescent="0.4">
      <c r="B152" s="78"/>
      <c r="C152" s="78"/>
      <c r="D152" s="78"/>
      <c r="E152" s="78"/>
      <c r="F152" s="6"/>
      <c r="G152" s="170"/>
      <c r="H152" s="170"/>
      <c r="I152" s="170"/>
      <c r="J152" s="170"/>
    </row>
    <row r="153" spans="1:10" s="77" customFormat="1" ht="30" x14ac:dyDescent="0.4">
      <c r="B153" s="78"/>
      <c r="C153" s="78"/>
      <c r="D153" s="78"/>
      <c r="E153" s="78"/>
      <c r="F153" s="6"/>
      <c r="G153" s="170"/>
      <c r="H153" s="170"/>
      <c r="I153" s="170"/>
      <c r="J153" s="170"/>
    </row>
    <row r="154" spans="1:10" s="77" customFormat="1" ht="30" x14ac:dyDescent="0.4">
      <c r="B154" s="78"/>
      <c r="C154" s="78"/>
      <c r="D154" s="78"/>
      <c r="E154" s="78"/>
      <c r="F154" s="6"/>
      <c r="G154" s="170"/>
      <c r="H154" s="170"/>
      <c r="I154" s="170"/>
      <c r="J154" s="170"/>
    </row>
    <row r="155" spans="1:10" s="77" customFormat="1" ht="30" x14ac:dyDescent="0.4">
      <c r="B155" s="78"/>
      <c r="C155" s="78"/>
      <c r="D155" s="78"/>
      <c r="E155" s="78"/>
      <c r="F155" s="6"/>
      <c r="G155" s="170"/>
      <c r="H155" s="170"/>
      <c r="I155" s="170"/>
      <c r="J155" s="170"/>
    </row>
    <row r="156" spans="1:10" s="77" customFormat="1" ht="30" x14ac:dyDescent="0.4">
      <c r="B156" s="78"/>
      <c r="C156" s="78"/>
      <c r="D156" s="78"/>
      <c r="E156" s="78"/>
      <c r="F156" s="6"/>
      <c r="G156" s="170"/>
      <c r="H156" s="170"/>
      <c r="I156" s="170"/>
      <c r="J156" s="170"/>
    </row>
    <row r="157" spans="1:10" s="77" customFormat="1" ht="30" x14ac:dyDescent="0.4">
      <c r="B157" s="78"/>
      <c r="C157" s="80" t="s">
        <v>76</v>
      </c>
      <c r="E157" s="78"/>
      <c r="F157" s="6"/>
      <c r="G157" s="170"/>
      <c r="H157" s="170"/>
      <c r="I157" s="170"/>
      <c r="J157" s="170"/>
    </row>
    <row r="158" spans="1:10" s="77" customFormat="1" ht="30" x14ac:dyDescent="0.4">
      <c r="C158" s="201" t="s">
        <v>77</v>
      </c>
      <c r="D158" s="201"/>
      <c r="F158" s="6"/>
      <c r="G158" s="170"/>
      <c r="H158" s="170"/>
      <c r="I158" s="170"/>
      <c r="J158" s="170"/>
    </row>
    <row r="159" spans="1:10" s="77" customFormat="1" ht="30" x14ac:dyDescent="0.4">
      <c r="B159" s="79"/>
      <c r="F159" s="6"/>
      <c r="G159" s="170"/>
      <c r="H159" s="170"/>
      <c r="I159" s="170"/>
      <c r="J159" s="170"/>
    </row>
    <row r="160" spans="1:10" s="77" customFormat="1" ht="30" x14ac:dyDescent="0.4">
      <c r="B160" s="79"/>
      <c r="C160" s="201"/>
      <c r="D160" s="201"/>
      <c r="E160" s="78"/>
      <c r="F160" s="6"/>
      <c r="G160" s="170"/>
      <c r="H160" s="170"/>
      <c r="I160" s="170"/>
      <c r="J160" s="170"/>
    </row>
    <row r="164" spans="1:5" x14ac:dyDescent="0.25">
      <c r="E164" s="32"/>
    </row>
    <row r="167" spans="1:5" ht="30" x14ac:dyDescent="0.25">
      <c r="A167" s="81"/>
      <c r="B167" s="13"/>
      <c r="C167" s="13"/>
      <c r="D167" s="13"/>
      <c r="E167" s="11"/>
    </row>
    <row r="168" spans="1:5" ht="30" x14ac:dyDescent="0.25">
      <c r="A168" s="81"/>
      <c r="B168" s="13"/>
      <c r="C168" s="13"/>
      <c r="D168" s="13"/>
      <c r="E168" s="11"/>
    </row>
    <row r="171" spans="1:5" ht="48.75" customHeight="1" x14ac:dyDescent="0.25">
      <c r="B171" s="13"/>
      <c r="C171" s="13"/>
      <c r="D171" s="13"/>
      <c r="E171" s="11"/>
    </row>
    <row r="172" spans="1:5" ht="48.75" customHeight="1" x14ac:dyDescent="0.25">
      <c r="B172" s="13"/>
      <c r="C172" s="13"/>
      <c r="D172" s="13"/>
      <c r="E172" s="11"/>
    </row>
    <row r="178" spans="2:6" x14ac:dyDescent="0.25">
      <c r="B178" s="13"/>
      <c r="C178" s="13"/>
      <c r="D178" s="13"/>
      <c r="E178" s="11"/>
      <c r="F178" s="7"/>
    </row>
    <row r="179" spans="2:6" x14ac:dyDescent="0.25">
      <c r="B179" s="13"/>
      <c r="C179" s="13"/>
      <c r="D179" s="13"/>
      <c r="E179" s="11"/>
      <c r="F179" s="8"/>
    </row>
    <row r="181" spans="2:6" ht="30" x14ac:dyDescent="0.25">
      <c r="B181" s="81"/>
      <c r="C181" s="81"/>
      <c r="D181" s="81"/>
      <c r="E181" s="82"/>
    </row>
    <row r="182" spans="2:6" ht="30" x14ac:dyDescent="0.25">
      <c r="B182" s="81"/>
      <c r="C182" s="83"/>
      <c r="D182" s="84"/>
      <c r="E182" s="44"/>
    </row>
    <row r="185" spans="2:6" ht="30" x14ac:dyDescent="0.25">
      <c r="B185" s="199"/>
      <c r="C185" s="199"/>
      <c r="D185" s="81"/>
      <c r="E185" s="82"/>
    </row>
    <row r="186" spans="2:6" ht="30" x14ac:dyDescent="0.25">
      <c r="B186" s="199"/>
      <c r="C186" s="199"/>
      <c r="D186" s="199"/>
      <c r="E186" s="199"/>
    </row>
    <row r="192" spans="2:6" ht="30" x14ac:dyDescent="0.25">
      <c r="B192" s="199"/>
      <c r="C192" s="199"/>
      <c r="D192" s="81"/>
      <c r="E192" s="82"/>
    </row>
    <row r="193" spans="2:5" ht="30" x14ac:dyDescent="0.25">
      <c r="B193" s="199"/>
      <c r="C193" s="199"/>
      <c r="D193" s="83"/>
      <c r="E193" s="39"/>
    </row>
  </sheetData>
  <sheetProtection algorithmName="SHA-512" hashValue="BnuK9wKYo/Jj3hiXww1cVfc/6XrbJgsFr/04fPW5QKwclMSHRbSvd2hkzMyWKbl1U5oz3yi+dMurLzuqTq7QXg==" saltValue="mgccRlz3XY332k1HUVRScA==" spinCount="100000" sheet="1" objects="1" scenarios="1" selectLockedCells="1" selectUnlockedCells="1"/>
  <mergeCells count="74">
    <mergeCell ref="E46:F46"/>
    <mergeCell ref="A44:A46"/>
    <mergeCell ref="A26:B26"/>
    <mergeCell ref="A28:B28"/>
    <mergeCell ref="E28:F28"/>
    <mergeCell ref="B44:B45"/>
    <mergeCell ref="E44:F44"/>
    <mergeCell ref="E45:F45"/>
    <mergeCell ref="A29:B29"/>
    <mergeCell ref="E29:F29"/>
    <mergeCell ref="E43:F43"/>
    <mergeCell ref="E42:F42"/>
    <mergeCell ref="E41:F41"/>
    <mergeCell ref="E39:F39"/>
    <mergeCell ref="E38:F38"/>
    <mergeCell ref="E36:F36"/>
    <mergeCell ref="E37:F37"/>
    <mergeCell ref="E40:F40"/>
    <mergeCell ref="A24:B24"/>
    <mergeCell ref="E24:F24"/>
    <mergeCell ref="A27:B27"/>
    <mergeCell ref="E27:F27"/>
    <mergeCell ref="E35:F35"/>
    <mergeCell ref="E33:F33"/>
    <mergeCell ref="E31:F31"/>
    <mergeCell ref="E32:F32"/>
    <mergeCell ref="A30:F30"/>
    <mergeCell ref="E34:F34"/>
    <mergeCell ref="A25:B25"/>
    <mergeCell ref="E25:F25"/>
    <mergeCell ref="E26:F26"/>
    <mergeCell ref="A1:E1"/>
    <mergeCell ref="A8:E8"/>
    <mergeCell ref="A9:F9"/>
    <mergeCell ref="A10:F10"/>
    <mergeCell ref="A18:F20"/>
    <mergeCell ref="A134:D134"/>
    <mergeCell ref="E134:F134"/>
    <mergeCell ref="B192:C192"/>
    <mergeCell ref="B193:C193"/>
    <mergeCell ref="A135:D135"/>
    <mergeCell ref="E135:F135"/>
    <mergeCell ref="A137:F138"/>
    <mergeCell ref="C160:D160"/>
    <mergeCell ref="B185:C185"/>
    <mergeCell ref="B186:C186"/>
    <mergeCell ref="D186:E186"/>
    <mergeCell ref="C158:D158"/>
    <mergeCell ref="A132:D132"/>
    <mergeCell ref="E132:F132"/>
    <mergeCell ref="A133:D133"/>
    <mergeCell ref="E133:F133"/>
    <mergeCell ref="A73:F74"/>
    <mergeCell ref="A79:F79"/>
    <mergeCell ref="A129:F129"/>
    <mergeCell ref="A130:F130"/>
    <mergeCell ref="A131:D131"/>
    <mergeCell ref="E131:F131"/>
    <mergeCell ref="A47:D47"/>
    <mergeCell ref="E47:F47"/>
    <mergeCell ref="A48:D48"/>
    <mergeCell ref="E48:F48"/>
    <mergeCell ref="A57:C57"/>
    <mergeCell ref="A49:D49"/>
    <mergeCell ref="E49:F49"/>
    <mergeCell ref="A50:D50"/>
    <mergeCell ref="E50:F50"/>
    <mergeCell ref="A51:D51"/>
    <mergeCell ref="E51:F51"/>
    <mergeCell ref="A52:F52"/>
    <mergeCell ref="A53:D53"/>
    <mergeCell ref="E53:F53"/>
    <mergeCell ref="A54:D54"/>
    <mergeCell ref="E54:F54"/>
  </mergeCells>
  <printOptions horizontalCentered="1"/>
  <pageMargins left="0.39370078740157483" right="0.39370078740157483" top="0.39370078740157483" bottom="0.39370078740157483" header="0.11811023622047245" footer="0.51181102362204722"/>
  <pageSetup paperSize="9" scale="35" orientation="portrait" r:id="rId1"/>
  <rowBreaks count="2" manualBreakCount="2">
    <brk id="59" max="5" man="1"/>
    <brk id="122"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N178"/>
  <sheetViews>
    <sheetView topLeftCell="A10" zoomScale="50" zoomScaleNormal="50" zoomScaleSheetLayoutView="50" workbookViewId="0">
      <selection activeCell="B3" sqref="B3"/>
    </sheetView>
  </sheetViews>
  <sheetFormatPr defaultColWidth="0" defaultRowHeight="25.5" x14ac:dyDescent="0.35"/>
  <cols>
    <col min="1" max="1" width="39.85546875" style="149" customWidth="1"/>
    <col min="2" max="5" width="41" style="73" customWidth="1"/>
    <col min="6" max="6" width="60.42578125" style="73" customWidth="1"/>
    <col min="7" max="7" width="31.7109375" style="98" customWidth="1"/>
    <col min="8" max="8" width="31.7109375" style="76" customWidth="1"/>
    <col min="9" max="9" width="9.140625" style="76" customWidth="1"/>
    <col min="10" max="10" width="1.7109375" style="76" customWidth="1"/>
    <col min="11" max="22" width="9.140625" style="76" customWidth="1"/>
    <col min="23" max="23" width="1.42578125" style="76" customWidth="1"/>
    <col min="24" max="46" width="9.140625" style="76" customWidth="1"/>
    <col min="47" max="47" width="1.28515625" style="76" customWidth="1"/>
    <col min="48" max="68" width="9.140625" style="76" customWidth="1"/>
    <col min="69" max="69" width="1.28515625" style="76" customWidth="1"/>
    <col min="70" max="87" width="9.140625" style="76" customWidth="1"/>
    <col min="88" max="88" width="0.42578125" style="76" customWidth="1"/>
    <col min="89" max="89" width="1.140625" style="76" customWidth="1"/>
    <col min="90" max="112" width="9.140625" style="76" customWidth="1"/>
    <col min="113" max="113" width="1.7109375" style="76" customWidth="1"/>
    <col min="114" max="159" width="9.140625" style="76" customWidth="1"/>
    <col min="160" max="160" width="3.42578125" style="76" customWidth="1"/>
    <col min="161" max="183" width="9.140625" style="76" customWidth="1"/>
    <col min="184" max="184" width="2" style="76" customWidth="1"/>
    <col min="185" max="185" width="8" style="76" customWidth="1"/>
    <col min="186" max="190" width="9.140625" style="76" customWidth="1"/>
    <col min="191" max="191" width="8.7109375" style="76" customWidth="1"/>
    <col min="192" max="200" width="9.140625" style="76" customWidth="1"/>
    <col min="201" max="201" width="3.7109375" style="76" customWidth="1"/>
    <col min="202" max="202" width="9.140625" style="76" hidden="1" customWidth="1"/>
    <col min="203" max="223" width="0" style="76" hidden="1" customWidth="1"/>
    <col min="224" max="224" width="9.140625" style="76" hidden="1" customWidth="1"/>
    <col min="225" max="274" width="0" style="76" hidden="1" customWidth="1"/>
    <col min="275" max="16384" width="9.140625" style="76" hidden="1"/>
  </cols>
  <sheetData>
    <row r="1" spans="1:7" ht="30" customHeight="1" x14ac:dyDescent="0.35">
      <c r="A1" s="86"/>
      <c r="B1" s="86"/>
      <c r="C1" s="86"/>
      <c r="D1" s="86"/>
      <c r="E1" s="86"/>
      <c r="F1" s="102"/>
    </row>
    <row r="2" spans="1:7" ht="30" customHeight="1" x14ac:dyDescent="0.35">
      <c r="A2" s="86"/>
      <c r="B2" s="86"/>
      <c r="C2" s="86"/>
      <c r="D2" s="86"/>
      <c r="E2" s="86"/>
      <c r="F2" s="102"/>
    </row>
    <row r="3" spans="1:7" ht="30" customHeight="1" x14ac:dyDescent="0.35">
      <c r="A3" s="86"/>
      <c r="B3" s="86"/>
      <c r="C3" s="86"/>
      <c r="D3" s="86"/>
      <c r="E3" s="86"/>
      <c r="F3" s="102"/>
    </row>
    <row r="4" spans="1:7" ht="30" customHeight="1" x14ac:dyDescent="0.35">
      <c r="A4" s="86"/>
      <c r="B4" s="86"/>
      <c r="C4" s="86"/>
      <c r="D4" s="86"/>
      <c r="E4" s="86"/>
      <c r="F4" s="102"/>
    </row>
    <row r="5" spans="1:7" ht="30" customHeight="1" x14ac:dyDescent="0.35">
      <c r="A5" s="86"/>
      <c r="B5" s="86"/>
      <c r="C5" s="86"/>
      <c r="D5" s="86"/>
      <c r="E5" s="86"/>
      <c r="F5" s="102"/>
    </row>
    <row r="6" spans="1:7" ht="30" customHeight="1" x14ac:dyDescent="0.35">
      <c r="A6" s="86"/>
      <c r="B6" s="86"/>
      <c r="C6" s="86"/>
      <c r="D6" s="86"/>
      <c r="E6" s="86"/>
      <c r="F6" s="102"/>
    </row>
    <row r="7" spans="1:7" ht="30" customHeight="1" x14ac:dyDescent="0.35">
      <c r="A7" s="86"/>
      <c r="B7" s="86"/>
      <c r="C7" s="86"/>
      <c r="D7" s="86"/>
      <c r="E7" s="86"/>
      <c r="F7" s="102"/>
    </row>
    <row r="8" spans="1:7" ht="30" customHeight="1" x14ac:dyDescent="0.35">
      <c r="A8" s="86"/>
      <c r="B8" s="86"/>
      <c r="C8" s="86"/>
      <c r="D8" s="86"/>
      <c r="E8" s="86"/>
      <c r="F8" s="102"/>
    </row>
    <row r="9" spans="1:7" ht="30" customHeight="1" x14ac:dyDescent="0.35">
      <c r="A9" s="248" t="s">
        <v>78</v>
      </c>
      <c r="B9" s="248"/>
      <c r="C9" s="248"/>
      <c r="D9" s="248"/>
      <c r="E9" s="248"/>
      <c r="F9" s="248"/>
    </row>
    <row r="10" spans="1:7" ht="30" customHeight="1" x14ac:dyDescent="0.35">
      <c r="A10" s="248" t="s">
        <v>1</v>
      </c>
      <c r="B10" s="248"/>
      <c r="C10" s="248"/>
      <c r="D10" s="248"/>
      <c r="E10" s="248"/>
      <c r="F10" s="248"/>
    </row>
    <row r="11" spans="1:7" ht="30" customHeight="1" x14ac:dyDescent="0.35">
      <c r="A11" s="14"/>
      <c r="B11" s="15"/>
      <c r="C11" s="15"/>
      <c r="D11" s="15"/>
      <c r="E11" s="15"/>
      <c r="F11" s="15"/>
    </row>
    <row r="12" spans="1:7" s="103" customFormat="1" ht="30" customHeight="1" x14ac:dyDescent="0.35">
      <c r="A12" s="17" t="s">
        <v>86</v>
      </c>
      <c r="B12" s="18"/>
      <c r="C12" s="18"/>
      <c r="D12" s="18"/>
      <c r="E12" s="18"/>
      <c r="F12" s="18"/>
      <c r="G12" s="98"/>
    </row>
    <row r="13" spans="1:7" s="103" customFormat="1" ht="30" customHeight="1" x14ac:dyDescent="0.35">
      <c r="A13" s="17" t="s">
        <v>87</v>
      </c>
      <c r="B13" s="18"/>
      <c r="C13" s="18"/>
      <c r="D13" s="18"/>
      <c r="E13" s="18"/>
      <c r="F13" s="18"/>
      <c r="G13" s="98"/>
    </row>
    <row r="14" spans="1:7" s="103" customFormat="1" ht="30" customHeight="1" x14ac:dyDescent="0.35">
      <c r="A14" s="17" t="s">
        <v>88</v>
      </c>
      <c r="B14" s="18"/>
      <c r="C14" s="18"/>
      <c r="D14" s="18"/>
      <c r="E14" s="18"/>
      <c r="F14" s="18"/>
      <c r="G14" s="98"/>
    </row>
    <row r="15" spans="1:7" s="103" customFormat="1" ht="30" customHeight="1" x14ac:dyDescent="0.35">
      <c r="A15" s="17" t="s">
        <v>89</v>
      </c>
      <c r="B15" s="18"/>
      <c r="C15" s="18"/>
      <c r="D15" s="18"/>
      <c r="E15" s="18"/>
      <c r="F15" s="18"/>
      <c r="G15" s="98"/>
    </row>
    <row r="16" spans="1:7" s="103" customFormat="1" ht="30" customHeight="1" x14ac:dyDescent="0.35">
      <c r="A16" s="17" t="s">
        <v>90</v>
      </c>
      <c r="B16" s="18"/>
      <c r="C16" s="18"/>
      <c r="D16" s="18"/>
      <c r="E16" s="18"/>
      <c r="F16" s="18"/>
      <c r="G16" s="98"/>
    </row>
    <row r="17" spans="1:202" s="103" customFormat="1" ht="30" customHeight="1" x14ac:dyDescent="0.35">
      <c r="A17" s="17" t="s">
        <v>242</v>
      </c>
      <c r="B17" s="18"/>
      <c r="C17" s="18"/>
      <c r="D17" s="18"/>
      <c r="E17" s="18"/>
      <c r="F17" s="18"/>
      <c r="G17" s="98"/>
    </row>
    <row r="18" spans="1:202" s="11" customFormat="1" ht="30" customHeight="1" x14ac:dyDescent="0.25">
      <c r="A18" s="219" t="s">
        <v>219</v>
      </c>
      <c r="B18" s="219"/>
      <c r="C18" s="219"/>
      <c r="D18" s="219"/>
      <c r="E18" s="219"/>
      <c r="F18" s="219"/>
      <c r="G18" s="19"/>
      <c r="H18" s="12"/>
    </row>
    <row r="19" spans="1:202" s="11" customFormat="1" ht="30" customHeight="1" x14ac:dyDescent="0.25">
      <c r="A19" s="219"/>
      <c r="B19" s="219"/>
      <c r="C19" s="219"/>
      <c r="D19" s="219"/>
      <c r="E19" s="219"/>
      <c r="F19" s="219"/>
      <c r="G19" s="19"/>
      <c r="H19" s="12"/>
    </row>
    <row r="20" spans="1:202" s="11" customFormat="1" ht="50.25" customHeight="1" x14ac:dyDescent="0.25">
      <c r="A20" s="219"/>
      <c r="B20" s="219"/>
      <c r="C20" s="219"/>
      <c r="D20" s="219"/>
      <c r="E20" s="219"/>
      <c r="F20" s="219"/>
      <c r="G20" s="19"/>
      <c r="H20" s="12"/>
    </row>
    <row r="21" spans="1:202" s="103" customFormat="1" ht="30" customHeight="1" x14ac:dyDescent="0.4">
      <c r="A21" s="17" t="s">
        <v>96</v>
      </c>
      <c r="B21" s="18"/>
      <c r="C21" s="18"/>
      <c r="D21" s="18"/>
      <c r="E21" s="18"/>
      <c r="F21" s="9"/>
      <c r="G21" s="104"/>
    </row>
    <row r="22" spans="1:202" s="103" customFormat="1" ht="30" customHeight="1" x14ac:dyDescent="0.35">
      <c r="A22" s="17" t="s">
        <v>94</v>
      </c>
      <c r="B22" s="18"/>
      <c r="C22" s="18"/>
      <c r="D22" s="18"/>
      <c r="E22" s="18"/>
      <c r="F22" s="18"/>
      <c r="G22" s="98"/>
    </row>
    <row r="23" spans="1:202" s="103" customFormat="1" ht="30" customHeight="1" thickBot="1" x14ac:dyDescent="0.4">
      <c r="B23" s="105"/>
      <c r="C23" s="105"/>
      <c r="D23" s="105"/>
      <c r="E23" s="105"/>
      <c r="F23" s="105"/>
      <c r="G23" s="98"/>
    </row>
    <row r="24" spans="1:202" s="103" customFormat="1" ht="38.25" customHeight="1" thickBot="1" x14ac:dyDescent="0.4">
      <c r="A24" s="246" t="s">
        <v>2</v>
      </c>
      <c r="B24" s="246"/>
      <c r="C24" s="22" t="s">
        <v>3</v>
      </c>
      <c r="D24" s="22" t="s">
        <v>4</v>
      </c>
      <c r="E24" s="246" t="s">
        <v>5</v>
      </c>
      <c r="F24" s="246"/>
      <c r="G24" s="98"/>
    </row>
    <row r="25" spans="1:202" s="103" customFormat="1" ht="38.25" customHeight="1" thickBot="1" x14ac:dyDescent="0.4">
      <c r="A25" s="245" t="s">
        <v>79</v>
      </c>
      <c r="B25" s="245"/>
      <c r="C25" s="106" t="s">
        <v>79</v>
      </c>
      <c r="D25" s="106" t="s">
        <v>79</v>
      </c>
      <c r="E25" s="185" t="s">
        <v>79</v>
      </c>
      <c r="F25" s="185"/>
      <c r="G25" s="98"/>
    </row>
    <row r="26" spans="1:202" s="110" customFormat="1" ht="37.5" customHeight="1" thickBot="1" x14ac:dyDescent="0.3">
      <c r="A26" s="107"/>
      <c r="B26" s="107"/>
      <c r="C26" s="107"/>
      <c r="D26" s="107"/>
      <c r="E26" s="198"/>
      <c r="F26" s="198"/>
      <c r="G26" s="108"/>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c r="DY26" s="109"/>
      <c r="DZ26" s="109"/>
      <c r="EA26" s="109"/>
      <c r="EB26" s="109"/>
      <c r="EC26" s="109"/>
      <c r="ED26" s="109"/>
      <c r="EE26" s="109"/>
      <c r="EF26" s="109"/>
      <c r="EG26" s="109"/>
      <c r="EH26" s="109"/>
      <c r="EI26" s="109"/>
      <c r="EJ26" s="109"/>
      <c r="EK26" s="109"/>
      <c r="EL26" s="109"/>
      <c r="EM26" s="109"/>
      <c r="EN26" s="109"/>
      <c r="EO26" s="109"/>
      <c r="EP26" s="109"/>
      <c r="EQ26" s="109"/>
      <c r="ER26" s="109"/>
      <c r="ES26" s="109"/>
      <c r="ET26" s="109"/>
      <c r="EU26" s="109"/>
      <c r="EV26" s="109"/>
      <c r="EW26" s="109"/>
      <c r="EX26" s="109"/>
      <c r="EY26" s="109"/>
      <c r="EZ26" s="109"/>
      <c r="FA26" s="109"/>
      <c r="FB26" s="109"/>
      <c r="FC26" s="109"/>
      <c r="FD26" s="109"/>
      <c r="FE26" s="109"/>
      <c r="FF26" s="109"/>
      <c r="FG26" s="109"/>
      <c r="FH26" s="109"/>
      <c r="FI26" s="109"/>
      <c r="FJ26" s="109"/>
      <c r="FK26" s="109"/>
      <c r="FL26" s="109"/>
      <c r="FM26" s="109"/>
      <c r="FN26" s="109"/>
      <c r="FO26" s="109"/>
      <c r="FP26" s="109"/>
      <c r="FQ26" s="109"/>
      <c r="FR26" s="109"/>
      <c r="FS26" s="109"/>
      <c r="FT26" s="109"/>
      <c r="FU26" s="109"/>
      <c r="FV26" s="109"/>
      <c r="FW26" s="109"/>
      <c r="FX26" s="109"/>
      <c r="FY26" s="109"/>
      <c r="FZ26" s="109"/>
      <c r="GA26" s="109"/>
      <c r="GB26" s="109"/>
      <c r="GC26" s="109"/>
      <c r="GD26" s="109"/>
      <c r="GE26" s="109"/>
      <c r="GF26" s="109"/>
      <c r="GG26" s="109"/>
      <c r="GH26" s="109"/>
      <c r="GI26" s="109"/>
      <c r="GJ26" s="109"/>
      <c r="GK26" s="109"/>
      <c r="GL26" s="109"/>
      <c r="GM26" s="109"/>
      <c r="GN26" s="109"/>
      <c r="GO26" s="109"/>
      <c r="GP26" s="109"/>
      <c r="GQ26" s="109"/>
      <c r="GR26" s="109"/>
      <c r="GS26" s="109"/>
      <c r="GT26" s="109"/>
    </row>
    <row r="27" spans="1:202" s="103" customFormat="1" ht="60" customHeight="1" thickBot="1" x14ac:dyDescent="0.4">
      <c r="A27" s="246" t="s">
        <v>6</v>
      </c>
      <c r="B27" s="246"/>
      <c r="C27" s="246"/>
      <c r="D27" s="246"/>
      <c r="E27" s="246"/>
      <c r="F27" s="246"/>
      <c r="G27" s="98"/>
    </row>
    <row r="28" spans="1:202" s="103" customFormat="1" ht="80.25" customHeight="1" thickBot="1" x14ac:dyDescent="0.4">
      <c r="A28" s="25" t="s">
        <v>82</v>
      </c>
      <c r="B28" s="25" t="s">
        <v>7</v>
      </c>
      <c r="C28" s="22" t="s">
        <v>8</v>
      </c>
      <c r="D28" s="25" t="s">
        <v>9</v>
      </c>
      <c r="E28" s="227" t="s">
        <v>10</v>
      </c>
      <c r="F28" s="227"/>
      <c r="G28" s="98"/>
    </row>
    <row r="29" spans="1:202" s="103" customFormat="1" ht="37.5" customHeight="1" thickBot="1" x14ac:dyDescent="0.4">
      <c r="A29" s="111" t="s">
        <v>79</v>
      </c>
      <c r="B29" s="50" t="s">
        <v>79</v>
      </c>
      <c r="C29" s="111" t="s">
        <v>79</v>
      </c>
      <c r="D29" s="112" t="s">
        <v>79</v>
      </c>
      <c r="E29" s="185" t="s">
        <v>79</v>
      </c>
      <c r="F29" s="185"/>
      <c r="G29" s="98"/>
    </row>
    <row r="30" spans="1:202" s="103" customFormat="1" ht="37.5" customHeight="1" thickBot="1" x14ac:dyDescent="0.4">
      <c r="A30" s="186" t="s">
        <v>83</v>
      </c>
      <c r="B30" s="186"/>
      <c r="C30" s="186"/>
      <c r="D30" s="186"/>
      <c r="E30" s="185">
        <f>6611236.53</f>
        <v>6611236.5300000003</v>
      </c>
      <c r="F30" s="185"/>
      <c r="G30" s="98"/>
    </row>
    <row r="31" spans="1:202" s="103" customFormat="1" ht="37.5" customHeight="1" thickBot="1" x14ac:dyDescent="0.4">
      <c r="A31" s="186" t="s">
        <v>84</v>
      </c>
      <c r="B31" s="186"/>
      <c r="C31" s="186"/>
      <c r="D31" s="186"/>
      <c r="E31" s="247">
        <f>7722972.57+7269935.14+5580206.22+5110004.99+8100225.09+7618405.34+7427597.62+7826958.4+8905271.24+9418200.03+7629770.73+9088690.12</f>
        <v>91698237.49000001</v>
      </c>
      <c r="F31" s="247"/>
    </row>
    <row r="32" spans="1:202" s="103" customFormat="1" ht="38.1" customHeight="1" thickBot="1" x14ac:dyDescent="0.4">
      <c r="A32" s="176" t="s">
        <v>11</v>
      </c>
      <c r="B32" s="177"/>
      <c r="C32" s="177"/>
      <c r="D32" s="178"/>
      <c r="E32" s="225">
        <f>180027.14+32905.17+27984.63+22002.28+19629.62+19465.24+21689.49+35322.34+42479.76+55996.28</f>
        <v>457501.94999999995</v>
      </c>
      <c r="F32" s="185"/>
    </row>
    <row r="33" spans="1:8" s="103" customFormat="1" ht="38.1" customHeight="1" thickBot="1" x14ac:dyDescent="0.4">
      <c r="A33" s="186" t="s">
        <v>12</v>
      </c>
      <c r="B33" s="186"/>
      <c r="C33" s="186"/>
      <c r="D33" s="186"/>
      <c r="E33" s="185">
        <f>106286.28+97108.69+77188.5+60133.88+122081.67+116017.95+75249.77+111090.75+86293.16+144690.25+97833.9+188539.27</f>
        <v>1282514.07</v>
      </c>
      <c r="F33" s="185"/>
    </row>
    <row r="34" spans="1:8" s="103" customFormat="1" ht="38.1" customHeight="1" thickBot="1" x14ac:dyDescent="0.4">
      <c r="A34" s="186" t="s">
        <v>13</v>
      </c>
      <c r="B34" s="186"/>
      <c r="C34" s="186"/>
      <c r="D34" s="186"/>
      <c r="E34" s="197">
        <f>SUM(E30:E33)</f>
        <v>100049490.04000001</v>
      </c>
      <c r="F34" s="197"/>
      <c r="G34" s="98"/>
    </row>
    <row r="35" spans="1:8" s="103" customFormat="1" ht="38.1" customHeight="1" thickBot="1" x14ac:dyDescent="0.4">
      <c r="A35" s="238"/>
      <c r="B35" s="239"/>
      <c r="C35" s="239"/>
      <c r="D35" s="240"/>
      <c r="E35" s="198"/>
      <c r="F35" s="198"/>
      <c r="G35" s="98"/>
      <c r="H35" s="98"/>
    </row>
    <row r="36" spans="1:8" s="103" customFormat="1" ht="38.1" customHeight="1" thickBot="1" x14ac:dyDescent="0.4">
      <c r="A36" s="186" t="s">
        <v>80</v>
      </c>
      <c r="B36" s="186"/>
      <c r="C36" s="186"/>
      <c r="D36" s="186"/>
      <c r="E36" s="185">
        <v>0</v>
      </c>
      <c r="F36" s="185"/>
      <c r="G36" s="98"/>
      <c r="H36" s="98"/>
    </row>
    <row r="37" spans="1:8" s="103" customFormat="1" ht="38.1" customHeight="1" thickBot="1" x14ac:dyDescent="0.4">
      <c r="A37" s="186" t="s">
        <v>15</v>
      </c>
      <c r="B37" s="186"/>
      <c r="C37" s="186"/>
      <c r="D37" s="186"/>
      <c r="E37" s="241">
        <f>E34+E36</f>
        <v>100049490.04000001</v>
      </c>
      <c r="F37" s="241"/>
      <c r="G37" s="98"/>
    </row>
    <row r="38" spans="1:8" ht="30" customHeight="1" x14ac:dyDescent="0.35">
      <c r="A38" s="113" t="s">
        <v>16</v>
      </c>
      <c r="B38" s="114"/>
      <c r="C38" s="114"/>
      <c r="D38" s="114"/>
      <c r="E38" s="115"/>
      <c r="F38" s="115"/>
    </row>
    <row r="39" spans="1:8" ht="30" customHeight="1" x14ac:dyDescent="0.35">
      <c r="A39" s="113" t="s">
        <v>17</v>
      </c>
      <c r="B39" s="114"/>
      <c r="C39" s="114"/>
      <c r="D39" s="115"/>
      <c r="E39" s="115"/>
      <c r="F39" s="115"/>
    </row>
    <row r="40" spans="1:8" ht="30" customHeight="1" x14ac:dyDescent="0.35">
      <c r="A40" s="192" t="s">
        <v>85</v>
      </c>
      <c r="B40" s="192"/>
      <c r="C40" s="192"/>
      <c r="D40" s="115"/>
      <c r="E40" s="115"/>
      <c r="F40" s="115"/>
    </row>
    <row r="41" spans="1:8" ht="30" customHeight="1" x14ac:dyDescent="0.35">
      <c r="A41" s="116"/>
      <c r="B41" s="115"/>
      <c r="C41" s="115"/>
      <c r="D41" s="115"/>
      <c r="E41" s="115"/>
      <c r="F41" s="115"/>
    </row>
    <row r="42" spans="1:8" ht="30" customHeight="1" x14ac:dyDescent="0.35">
      <c r="A42" s="117"/>
      <c r="B42" s="117"/>
      <c r="C42" s="117"/>
      <c r="D42" s="117"/>
      <c r="E42" s="117"/>
      <c r="F42" s="117"/>
    </row>
    <row r="43" spans="1:8" ht="30" customHeight="1" x14ac:dyDescent="0.35">
      <c r="A43" s="117"/>
      <c r="B43" s="117"/>
      <c r="C43" s="117"/>
      <c r="D43" s="117"/>
      <c r="E43" s="117"/>
      <c r="F43" s="117"/>
    </row>
    <row r="44" spans="1:8" ht="30" customHeight="1" x14ac:dyDescent="0.35">
      <c r="A44" s="117"/>
      <c r="B44" s="117"/>
      <c r="C44" s="117"/>
      <c r="D44" s="117"/>
      <c r="E44" s="117"/>
      <c r="F44" s="117"/>
    </row>
    <row r="45" spans="1:8" ht="30" customHeight="1" x14ac:dyDescent="0.35">
      <c r="A45" s="117"/>
      <c r="B45" s="117"/>
      <c r="C45" s="117"/>
      <c r="D45" s="117"/>
      <c r="E45" s="117"/>
      <c r="F45" s="117"/>
    </row>
    <row r="46" spans="1:8" ht="30" customHeight="1" x14ac:dyDescent="0.35">
      <c r="A46" s="117"/>
      <c r="B46" s="117"/>
      <c r="C46" s="117"/>
      <c r="D46" s="117"/>
      <c r="E46" s="117"/>
      <c r="F46" s="117"/>
    </row>
    <row r="47" spans="1:8" ht="30" customHeight="1" x14ac:dyDescent="0.35">
      <c r="A47" s="117"/>
      <c r="B47" s="117"/>
      <c r="C47" s="117"/>
      <c r="D47" s="117"/>
      <c r="E47" s="117"/>
      <c r="F47" s="117"/>
    </row>
    <row r="48" spans="1:8" ht="30" customHeight="1" x14ac:dyDescent="0.35">
      <c r="A48" s="117"/>
      <c r="B48" s="117"/>
      <c r="C48" s="117"/>
      <c r="D48" s="117"/>
      <c r="E48" s="117"/>
      <c r="F48" s="117"/>
    </row>
    <row r="49" spans="1:7" ht="30" customHeight="1" x14ac:dyDescent="0.35">
      <c r="A49" s="117"/>
      <c r="B49" s="117"/>
      <c r="C49" s="117"/>
      <c r="D49" s="117"/>
      <c r="E49" s="117"/>
      <c r="F49" s="117"/>
    </row>
    <row r="50" spans="1:7" ht="30" customHeight="1" x14ac:dyDescent="0.35">
      <c r="A50" s="117"/>
      <c r="B50" s="117"/>
      <c r="C50" s="117"/>
      <c r="D50" s="117"/>
      <c r="E50" s="117"/>
      <c r="F50" s="117"/>
    </row>
    <row r="51" spans="1:7" ht="30" customHeight="1" x14ac:dyDescent="0.35">
      <c r="A51" s="117"/>
      <c r="B51" s="117"/>
      <c r="C51" s="117"/>
      <c r="D51" s="117"/>
      <c r="E51" s="117"/>
      <c r="F51" s="117"/>
    </row>
    <row r="52" spans="1:7" ht="30" customHeight="1" x14ac:dyDescent="0.35">
      <c r="A52" s="117"/>
      <c r="B52" s="117"/>
      <c r="C52" s="117"/>
      <c r="D52" s="117"/>
      <c r="E52" s="117"/>
      <c r="F52" s="117"/>
    </row>
    <row r="53" spans="1:7" ht="30" customHeight="1" x14ac:dyDescent="0.35">
      <c r="A53" s="117"/>
      <c r="B53" s="117"/>
      <c r="C53" s="117"/>
      <c r="D53" s="117"/>
      <c r="E53" s="117"/>
      <c r="F53" s="117"/>
    </row>
    <row r="54" spans="1:7" ht="30" customHeight="1" x14ac:dyDescent="0.35">
      <c r="A54" s="117"/>
      <c r="B54" s="117"/>
      <c r="C54" s="117"/>
      <c r="D54" s="117"/>
      <c r="E54" s="117"/>
      <c r="F54" s="117"/>
    </row>
    <row r="55" spans="1:7" ht="30" customHeight="1" x14ac:dyDescent="0.35">
      <c r="A55" s="117"/>
      <c r="B55" s="117"/>
      <c r="C55" s="117"/>
      <c r="D55" s="117"/>
      <c r="E55" s="117"/>
      <c r="F55" s="117"/>
    </row>
    <row r="56" spans="1:7" ht="30" customHeight="1" x14ac:dyDescent="0.35">
      <c r="A56" s="193" t="s">
        <v>97</v>
      </c>
      <c r="B56" s="193"/>
      <c r="C56" s="193"/>
      <c r="D56" s="193"/>
      <c r="E56" s="193"/>
      <c r="F56" s="193"/>
    </row>
    <row r="57" spans="1:7" ht="30" customHeight="1" x14ac:dyDescent="0.35">
      <c r="A57" s="193"/>
      <c r="B57" s="193"/>
      <c r="C57" s="193"/>
      <c r="D57" s="193"/>
      <c r="E57" s="193"/>
      <c r="F57" s="193"/>
    </row>
    <row r="58" spans="1:7" ht="30" customHeight="1" x14ac:dyDescent="0.35">
      <c r="A58" s="117"/>
      <c r="B58" s="117"/>
      <c r="C58" s="117"/>
      <c r="D58" s="117"/>
      <c r="E58" s="117"/>
      <c r="F58" s="117"/>
    </row>
    <row r="59" spans="1:7" ht="30" customHeight="1" x14ac:dyDescent="0.35">
      <c r="A59" s="117"/>
      <c r="B59" s="117"/>
      <c r="C59" s="117"/>
      <c r="D59" s="117"/>
      <c r="E59" s="117"/>
      <c r="F59" s="117"/>
    </row>
    <row r="60" spans="1:7" ht="30" customHeight="1" x14ac:dyDescent="0.35">
      <c r="A60" s="117"/>
      <c r="B60" s="117"/>
      <c r="C60" s="117"/>
      <c r="D60" s="117"/>
      <c r="E60" s="117"/>
      <c r="F60" s="117"/>
    </row>
    <row r="61" spans="1:7" ht="30" customHeight="1" thickBot="1" x14ac:dyDescent="0.4">
      <c r="A61" s="117"/>
      <c r="B61" s="117"/>
      <c r="C61" s="117"/>
      <c r="D61" s="117"/>
      <c r="E61" s="117"/>
      <c r="F61" s="117"/>
    </row>
    <row r="62" spans="1:7" s="103" customFormat="1" ht="37.5" customHeight="1" thickBot="1" x14ac:dyDescent="0.4">
      <c r="A62" s="188" t="s">
        <v>18</v>
      </c>
      <c r="B62" s="189"/>
      <c r="C62" s="189"/>
      <c r="D62" s="189"/>
      <c r="E62" s="189"/>
      <c r="F62" s="190"/>
      <c r="G62" s="98"/>
    </row>
    <row r="63" spans="1:7" s="103" customFormat="1" ht="37.5" customHeight="1" thickBot="1" x14ac:dyDescent="0.4">
      <c r="A63" s="242" t="s">
        <v>228</v>
      </c>
      <c r="B63" s="243"/>
      <c r="C63" s="243"/>
      <c r="D63" s="243"/>
      <c r="E63" s="243"/>
      <c r="F63" s="244"/>
      <c r="G63" s="98"/>
    </row>
    <row r="64" spans="1:7" s="103" customFormat="1" ht="33" customHeight="1" x14ac:dyDescent="0.4">
      <c r="A64" s="118"/>
      <c r="B64" s="119"/>
      <c r="C64" s="120" t="s">
        <v>19</v>
      </c>
      <c r="D64" s="120" t="s">
        <v>19</v>
      </c>
      <c r="E64" s="121" t="s">
        <v>20</v>
      </c>
      <c r="F64" s="120" t="s">
        <v>19</v>
      </c>
      <c r="G64" s="98"/>
    </row>
    <row r="65" spans="1:8" s="103" customFormat="1" ht="33" customHeight="1" x14ac:dyDescent="0.4">
      <c r="A65" s="121" t="s">
        <v>21</v>
      </c>
      <c r="B65" s="122" t="s">
        <v>19</v>
      </c>
      <c r="C65" s="121" t="s">
        <v>22</v>
      </c>
      <c r="D65" s="121" t="s">
        <v>22</v>
      </c>
      <c r="E65" s="121" t="s">
        <v>19</v>
      </c>
      <c r="F65" s="121" t="s">
        <v>22</v>
      </c>
      <c r="G65" s="98"/>
    </row>
    <row r="66" spans="1:8" s="103" customFormat="1" ht="33" customHeight="1" x14ac:dyDescent="0.4">
      <c r="A66" s="121" t="s">
        <v>23</v>
      </c>
      <c r="B66" s="122" t="s">
        <v>22</v>
      </c>
      <c r="C66" s="121" t="s">
        <v>24</v>
      </c>
      <c r="D66" s="121" t="s">
        <v>25</v>
      </c>
      <c r="E66" s="121" t="s">
        <v>26</v>
      </c>
      <c r="F66" s="121" t="s">
        <v>27</v>
      </c>
      <c r="G66" s="98"/>
    </row>
    <row r="67" spans="1:8" s="103" customFormat="1" ht="33" customHeight="1" x14ac:dyDescent="0.4">
      <c r="A67" s="121" t="s">
        <v>28</v>
      </c>
      <c r="B67" s="122" t="s">
        <v>29</v>
      </c>
      <c r="C67" s="121" t="s">
        <v>30</v>
      </c>
      <c r="D67" s="121" t="s">
        <v>31</v>
      </c>
      <c r="E67" s="121" t="s">
        <v>29</v>
      </c>
      <c r="F67" s="121" t="s">
        <v>32</v>
      </c>
      <c r="G67" s="98"/>
    </row>
    <row r="68" spans="1:8" s="103" customFormat="1" ht="33" customHeight="1" x14ac:dyDescent="0.4">
      <c r="A68" s="123"/>
      <c r="B68" s="122" t="s">
        <v>33</v>
      </c>
      <c r="C68" s="121" t="s">
        <v>34</v>
      </c>
      <c r="D68" s="121" t="s">
        <v>33</v>
      </c>
      <c r="E68" s="121" t="s">
        <v>35</v>
      </c>
      <c r="F68" s="121" t="s">
        <v>36</v>
      </c>
      <c r="G68" s="98"/>
    </row>
    <row r="69" spans="1:8" s="103" customFormat="1" ht="33" customHeight="1" x14ac:dyDescent="0.4">
      <c r="A69" s="123"/>
      <c r="B69" s="124"/>
      <c r="C69" s="121" t="s">
        <v>33</v>
      </c>
      <c r="D69" s="121" t="s">
        <v>37</v>
      </c>
      <c r="E69" s="121" t="s">
        <v>38</v>
      </c>
      <c r="F69" s="121" t="s">
        <v>39</v>
      </c>
      <c r="G69" s="98"/>
    </row>
    <row r="70" spans="1:8" s="103" customFormat="1" ht="33" customHeight="1" thickBot="1" x14ac:dyDescent="0.45">
      <c r="A70" s="125"/>
      <c r="B70" s="126"/>
      <c r="C70" s="127" t="s">
        <v>40</v>
      </c>
      <c r="D70" s="128"/>
      <c r="E70" s="129" t="s">
        <v>41</v>
      </c>
      <c r="F70" s="128"/>
      <c r="G70" s="98"/>
    </row>
    <row r="71" spans="1:8" s="103" customFormat="1" ht="47.25" customHeight="1" thickBot="1" x14ac:dyDescent="0.4">
      <c r="A71" s="48" t="s">
        <v>42</v>
      </c>
      <c r="B71" s="49">
        <f t="shared" ref="B71:B87" si="0">D71+F71</f>
        <v>10178151.280000001</v>
      </c>
      <c r="C71" s="50">
        <f>61693.17+23112.48+9316.38</f>
        <v>94122.03</v>
      </c>
      <c r="D71" s="51">
        <f>814080.04+861140.54+873282.68+867597.4+894273.41+957962.72+895943.82+983030.32+586990.51+597225.85+618235.84+706665.18</f>
        <v>9656428.3100000005</v>
      </c>
      <c r="E71" s="50">
        <f>C71+D71</f>
        <v>9750550.3399999999</v>
      </c>
      <c r="F71" s="51">
        <f>131157.58+110109.01+67933.13+13076.27+49332.73+13076.27+49332.73+13076.27+49332.73+13076.27+12219.98</f>
        <v>521722.97</v>
      </c>
      <c r="G71" s="165"/>
      <c r="H71" s="166"/>
    </row>
    <row r="72" spans="1:8" s="103" customFormat="1" ht="47.25" customHeight="1" thickBot="1" x14ac:dyDescent="0.4">
      <c r="A72" s="48" t="s">
        <v>43</v>
      </c>
      <c r="B72" s="49">
        <f t="shared" si="0"/>
        <v>0</v>
      </c>
      <c r="C72" s="50">
        <v>0</v>
      </c>
      <c r="D72" s="51">
        <v>0</v>
      </c>
      <c r="E72" s="50">
        <f t="shared" ref="E72:E86" si="1">C72+D72</f>
        <v>0</v>
      </c>
      <c r="F72" s="50">
        <v>0</v>
      </c>
      <c r="G72" s="165"/>
      <c r="H72" s="166"/>
    </row>
    <row r="73" spans="1:8" s="103" customFormat="1" ht="47.25" customHeight="1" thickBot="1" x14ac:dyDescent="0.4">
      <c r="A73" s="48" t="s">
        <v>44</v>
      </c>
      <c r="B73" s="49">
        <f t="shared" si="0"/>
        <v>10741247.379999999</v>
      </c>
      <c r="C73" s="50">
        <f>1205082.53+144322.22</f>
        <v>1349404.75</v>
      </c>
      <c r="D73" s="51">
        <f>14503.5+765840.17+1413.5+971835.44+1026778.74+1180419.81+1551937.88+798811.62+878590.14+517326.76+665375.61+435022.73+510547.21</f>
        <v>9318403.1099999994</v>
      </c>
      <c r="E73" s="50">
        <f t="shared" si="1"/>
        <v>10667807.859999999</v>
      </c>
      <c r="F73" s="50">
        <f>687443.1+574015.57+161385.6</f>
        <v>1422844.27</v>
      </c>
      <c r="G73" s="165"/>
      <c r="H73" s="166"/>
    </row>
    <row r="74" spans="1:8" s="103" customFormat="1" ht="55.5" customHeight="1" thickBot="1" x14ac:dyDescent="0.4">
      <c r="A74" s="130" t="s">
        <v>45</v>
      </c>
      <c r="B74" s="49">
        <f t="shared" si="0"/>
        <v>33570403.700000003</v>
      </c>
      <c r="C74" s="50">
        <f>3662441.79+2102945.87+228806.39+50798.37</f>
        <v>6044992.4199999999</v>
      </c>
      <c r="D74" s="51">
        <f>35996.61+647428.08+85840.51+2311336.43+2106524.11+2927396.44+3315525.65+2691494.27+3106577.14+2722068.86+2933057.62+2669964.95+3295441.44</f>
        <v>28848652.109999999</v>
      </c>
      <c r="E74" s="50">
        <f t="shared" si="1"/>
        <v>34893644.530000001</v>
      </c>
      <c r="F74" s="50">
        <f>2135853.21+2270044.92+312991.46+2862</f>
        <v>4721751.59</v>
      </c>
      <c r="G74" s="165"/>
      <c r="H74" s="166"/>
    </row>
    <row r="75" spans="1:8" s="103" customFormat="1" ht="47.25" customHeight="1" thickBot="1" x14ac:dyDescent="0.4">
      <c r="A75" s="48" t="s">
        <v>46</v>
      </c>
      <c r="B75" s="49">
        <f t="shared" si="0"/>
        <v>3322997.7200000007</v>
      </c>
      <c r="C75" s="50">
        <v>206248.32000000001</v>
      </c>
      <c r="D75" s="51">
        <f>94732.28+187805.48+46171.46+303921.39+283951.76+298670.1+270701.96+303744.12+261351.9+291342.86+279577.66+296304.83+238027.41</f>
        <v>3156303.2100000004</v>
      </c>
      <c r="E75" s="50">
        <f t="shared" si="1"/>
        <v>3362551.5300000003</v>
      </c>
      <c r="F75" s="50">
        <f>166694.51</f>
        <v>166694.51</v>
      </c>
      <c r="G75" s="165"/>
      <c r="H75" s="166"/>
    </row>
    <row r="76" spans="1:8" s="103" customFormat="1" ht="55.5" customHeight="1" thickBot="1" x14ac:dyDescent="0.4">
      <c r="A76" s="130" t="s">
        <v>47</v>
      </c>
      <c r="B76" s="49">
        <f t="shared" si="0"/>
        <v>5137387.8900000006</v>
      </c>
      <c r="C76" s="50">
        <f>494516.12+50138.52+6316</f>
        <v>550970.64</v>
      </c>
      <c r="D76" s="51">
        <f>24523.31+290620.62+30938.49+419400.16+400551.25+451764.33+441283.88+421344.93+433133.9+452537.16+475088.8+449940.58+429073.41</f>
        <v>4720200.82</v>
      </c>
      <c r="E76" s="50">
        <f t="shared" si="1"/>
        <v>5271171.46</v>
      </c>
      <c r="F76" s="50">
        <f>327379.16+89807.91</f>
        <v>417187.06999999995</v>
      </c>
      <c r="G76" s="165"/>
      <c r="H76" s="166"/>
    </row>
    <row r="77" spans="1:8" s="103" customFormat="1" ht="47.25" customHeight="1" thickBot="1" x14ac:dyDescent="0.4">
      <c r="A77" s="48" t="s">
        <v>48</v>
      </c>
      <c r="B77" s="49">
        <f t="shared" si="0"/>
        <v>7700644.8200000003</v>
      </c>
      <c r="C77" s="50">
        <f>110127.18</f>
        <v>110127.18</v>
      </c>
      <c r="D77" s="51">
        <f>118903.01+5207.61+48023.82+598288.46+642885.91+527083.46+731952.23+688660.5+839149.09+818328.26+850013.81+851074.89+861160.94</f>
        <v>7580731.9900000002</v>
      </c>
      <c r="E77" s="50">
        <f t="shared" si="1"/>
        <v>7690859.1699999999</v>
      </c>
      <c r="F77" s="50">
        <f>119912.83</f>
        <v>119912.83</v>
      </c>
      <c r="G77" s="165"/>
      <c r="H77" s="166"/>
    </row>
    <row r="78" spans="1:8" s="103" customFormat="1" ht="55.5" customHeight="1" thickBot="1" x14ac:dyDescent="0.4">
      <c r="A78" s="130" t="s">
        <v>49</v>
      </c>
      <c r="B78" s="49">
        <f t="shared" si="0"/>
        <v>9801410.2599999998</v>
      </c>
      <c r="C78" s="50">
        <f>410682.47+32684.46+1240.01</f>
        <v>444606.94</v>
      </c>
      <c r="D78" s="51">
        <f>298488.95+431208.34+287597.28+972540.8+751734.65+735909.92+834676.42+824806.53+836426.79+780135.35+797627.61+964729.43+888258.43</f>
        <v>9404140.5</v>
      </c>
      <c r="E78" s="50">
        <f t="shared" si="1"/>
        <v>9848747.4399999995</v>
      </c>
      <c r="F78" s="50">
        <f>349256.37+48013.39</f>
        <v>397269.76000000001</v>
      </c>
      <c r="G78" s="165"/>
      <c r="H78" s="166"/>
    </row>
    <row r="79" spans="1:8" s="103" customFormat="1" ht="47.25" customHeight="1" thickBot="1" x14ac:dyDescent="0.4">
      <c r="A79" s="48" t="s">
        <v>50</v>
      </c>
      <c r="B79" s="49">
        <f t="shared" si="0"/>
        <v>104442.98</v>
      </c>
      <c r="C79" s="50">
        <v>9915</v>
      </c>
      <c r="D79" s="51">
        <f>98910.48</f>
        <v>98910.48</v>
      </c>
      <c r="E79" s="50">
        <f t="shared" si="1"/>
        <v>108825.48</v>
      </c>
      <c r="F79" s="167">
        <f>5532.5</f>
        <v>5532.5</v>
      </c>
      <c r="G79" s="165"/>
      <c r="H79" s="166"/>
    </row>
    <row r="80" spans="1:8" s="103" customFormat="1" ht="47.25" customHeight="1" thickBot="1" x14ac:dyDescent="0.4">
      <c r="A80" s="48" t="s">
        <v>51</v>
      </c>
      <c r="B80" s="49">
        <f t="shared" si="0"/>
        <v>5501434.4499999993</v>
      </c>
      <c r="C80" s="50">
        <f>106473.43+25204.33</f>
        <v>131677.76000000001</v>
      </c>
      <c r="D80" s="51">
        <f>5374704.52</f>
        <v>5374704.5199999996</v>
      </c>
      <c r="E80" s="50">
        <f t="shared" si="1"/>
        <v>5506382.2799999993</v>
      </c>
      <c r="F80" s="50">
        <f>93679.38+33050.55</f>
        <v>126729.93000000001</v>
      </c>
      <c r="G80" s="165"/>
      <c r="H80" s="166"/>
    </row>
    <row r="81" spans="1:8" s="103" customFormat="1" ht="47.25" customHeight="1" thickBot="1" x14ac:dyDescent="0.4">
      <c r="A81" s="48" t="s">
        <v>52</v>
      </c>
      <c r="B81" s="49">
        <f t="shared" si="0"/>
        <v>4109323.08</v>
      </c>
      <c r="C81" s="50">
        <v>224673.34</v>
      </c>
      <c r="D81" s="51">
        <f>37895.66+237698.27+120507.61+327982.13+364092.49+334370.11+323177.96+295350.52+309807.69+336739.31+366423.32+361781.54+398114.25</f>
        <v>3813940.86</v>
      </c>
      <c r="E81" s="50">
        <f t="shared" si="1"/>
        <v>4038614.1999999997</v>
      </c>
      <c r="F81" s="50">
        <f>295382.22</f>
        <v>295382.21999999997</v>
      </c>
      <c r="G81" s="165"/>
      <c r="H81" s="166"/>
    </row>
    <row r="82" spans="1:8" s="103" customFormat="1" ht="47.25" customHeight="1" thickBot="1" x14ac:dyDescent="0.4">
      <c r="A82" s="48" t="s">
        <v>53</v>
      </c>
      <c r="B82" s="49">
        <f t="shared" si="0"/>
        <v>26875.93</v>
      </c>
      <c r="C82" s="50">
        <v>0</v>
      </c>
      <c r="D82" s="51">
        <f>1824.19+3220+1614.93+1253.19+1633.73+1656.69+1566.04+1617.97+1671.11+5338.75+1716.7+1962.97+1799.66</f>
        <v>26875.93</v>
      </c>
      <c r="E82" s="50">
        <f t="shared" si="1"/>
        <v>26875.93</v>
      </c>
      <c r="F82" s="50">
        <v>0</v>
      </c>
      <c r="G82" s="165"/>
      <c r="H82" s="166"/>
    </row>
    <row r="83" spans="1:8" s="103" customFormat="1" ht="55.5" customHeight="1" thickBot="1" x14ac:dyDescent="0.4">
      <c r="A83" s="130" t="s">
        <v>54</v>
      </c>
      <c r="B83" s="49">
        <f t="shared" si="0"/>
        <v>1627511.1099999999</v>
      </c>
      <c r="C83" s="50">
        <f>120055.86+39084.09+28607.56</f>
        <v>187747.51</v>
      </c>
      <c r="D83" s="51">
        <f>22361.5+81056.1+12527.6+167597.55+135222.15+103224.79+204179.15+101106.48+170594.99+130410.51+214979.8+116418.26+134016.78</f>
        <v>1593695.66</v>
      </c>
      <c r="E83" s="50">
        <f t="shared" si="1"/>
        <v>1781443.17</v>
      </c>
      <c r="F83" s="50">
        <f>33815.45</f>
        <v>33815.449999999997</v>
      </c>
      <c r="G83" s="165"/>
      <c r="H83" s="166"/>
    </row>
    <row r="84" spans="1:8" s="103" customFormat="1" ht="47.25" customHeight="1" thickBot="1" x14ac:dyDescent="0.4">
      <c r="A84" s="48" t="s">
        <v>55</v>
      </c>
      <c r="B84" s="49">
        <f t="shared" si="0"/>
        <v>0</v>
      </c>
      <c r="C84" s="50">
        <v>0</v>
      </c>
      <c r="D84" s="51">
        <v>0</v>
      </c>
      <c r="E84" s="50">
        <f t="shared" si="1"/>
        <v>0</v>
      </c>
      <c r="F84" s="50">
        <v>0</v>
      </c>
      <c r="G84" s="165"/>
      <c r="H84" s="166"/>
    </row>
    <row r="85" spans="1:8" s="103" customFormat="1" ht="55.5" customHeight="1" thickBot="1" x14ac:dyDescent="0.4">
      <c r="A85" s="130" t="s">
        <v>56</v>
      </c>
      <c r="B85" s="49">
        <f t="shared" si="0"/>
        <v>22947.89</v>
      </c>
      <c r="C85" s="50">
        <v>0</v>
      </c>
      <c r="D85" s="51">
        <f>830.2+712.4+1973.4+2037.69+2012.15+1994.5+2024.5+2183.45+2167.3+2250.3+2247.3+2514.7</f>
        <v>22947.89</v>
      </c>
      <c r="E85" s="50">
        <f t="shared" si="1"/>
        <v>22947.89</v>
      </c>
      <c r="F85" s="50">
        <v>0</v>
      </c>
      <c r="G85" s="165"/>
      <c r="H85" s="166"/>
    </row>
    <row r="86" spans="1:8" s="103" customFormat="1" ht="47.25" customHeight="1" thickBot="1" x14ac:dyDescent="0.4">
      <c r="A86" s="48" t="s">
        <v>57</v>
      </c>
      <c r="B86" s="49">
        <f t="shared" si="0"/>
        <v>168170.88</v>
      </c>
      <c r="C86" s="50">
        <v>0</v>
      </c>
      <c r="D86" s="51">
        <f>1613.74+8273.18+20307.48+13067.86+9188.12+28794.65+8852.26+45278.7+4305.39+7567.35+14504.12+6418.03</f>
        <v>168170.88</v>
      </c>
      <c r="E86" s="50">
        <f t="shared" si="1"/>
        <v>168170.88</v>
      </c>
      <c r="F86" s="50">
        <v>0</v>
      </c>
      <c r="G86" s="165"/>
      <c r="H86" s="166"/>
    </row>
    <row r="87" spans="1:8" s="103" customFormat="1" ht="47.25" customHeight="1" thickBot="1" x14ac:dyDescent="0.4">
      <c r="A87" s="53" t="s">
        <v>0</v>
      </c>
      <c r="B87" s="131">
        <f t="shared" si="0"/>
        <v>92012949.370000005</v>
      </c>
      <c r="C87" s="54">
        <f>SUM(C71:C86)</f>
        <v>9354485.8899999987</v>
      </c>
      <c r="D87" s="54">
        <f>SUM(D71:D86)</f>
        <v>83784106.270000011</v>
      </c>
      <c r="E87" s="54">
        <f>SUM(E71:E86)</f>
        <v>93138592.160000011</v>
      </c>
      <c r="F87" s="132">
        <f>SUM(F71:F86)</f>
        <v>8228843.0999999996</v>
      </c>
      <c r="G87" s="56"/>
      <c r="H87" s="166"/>
    </row>
    <row r="88" spans="1:8" s="13" customFormat="1" ht="30" customHeight="1" x14ac:dyDescent="0.25">
      <c r="A88" s="30" t="s">
        <v>58</v>
      </c>
      <c r="B88" s="31"/>
      <c r="C88" s="31"/>
      <c r="D88" s="31"/>
      <c r="E88" s="31"/>
      <c r="F88" s="31"/>
      <c r="G88" s="29"/>
      <c r="H88" s="60"/>
    </row>
    <row r="89" spans="1:8" s="13" customFormat="1" ht="30" customHeight="1" x14ac:dyDescent="0.25">
      <c r="A89" s="30" t="s">
        <v>59</v>
      </c>
      <c r="B89" s="31"/>
      <c r="C89" s="57"/>
      <c r="D89" s="133"/>
      <c r="E89" s="56"/>
      <c r="F89" s="134"/>
      <c r="G89" s="57"/>
    </row>
    <row r="90" spans="1:8" s="13" customFormat="1" ht="30" customHeight="1" x14ac:dyDescent="0.35">
      <c r="A90" s="30" t="s">
        <v>60</v>
      </c>
      <c r="B90" s="31"/>
      <c r="C90" s="57"/>
      <c r="D90" s="135"/>
      <c r="E90" s="57"/>
      <c r="F90" s="136"/>
      <c r="G90" s="10"/>
    </row>
    <row r="91" spans="1:8" s="13" customFormat="1" ht="30" customHeight="1" x14ac:dyDescent="0.25">
      <c r="A91" s="30" t="s">
        <v>61</v>
      </c>
      <c r="B91" s="31"/>
      <c r="C91" s="31"/>
      <c r="D91" s="31"/>
      <c r="E91" s="57"/>
      <c r="F91" s="31"/>
      <c r="G91" s="29"/>
    </row>
    <row r="92" spans="1:8" s="13" customFormat="1" ht="30" customHeight="1" x14ac:dyDescent="0.25">
      <c r="A92" s="30" t="s">
        <v>62</v>
      </c>
      <c r="B92" s="31"/>
      <c r="C92" s="31"/>
      <c r="D92" s="31"/>
      <c r="E92" s="31"/>
      <c r="F92" s="31"/>
      <c r="G92" s="29"/>
    </row>
    <row r="93" spans="1:8" s="13" customFormat="1" ht="30" customHeight="1" x14ac:dyDescent="0.25">
      <c r="A93" s="30" t="s">
        <v>63</v>
      </c>
      <c r="B93" s="31"/>
      <c r="C93" s="31"/>
      <c r="D93" s="31"/>
      <c r="E93" s="31"/>
      <c r="F93" s="31"/>
      <c r="G93" s="29"/>
    </row>
    <row r="94" spans="1:8" ht="30" customHeight="1" x14ac:dyDescent="0.35">
      <c r="A94" s="137" t="s">
        <v>64</v>
      </c>
      <c r="B94" s="137"/>
      <c r="C94" s="137"/>
      <c r="D94" s="138"/>
      <c r="E94" s="137"/>
      <c r="F94" s="137"/>
    </row>
    <row r="95" spans="1:8" ht="30" customHeight="1" x14ac:dyDescent="0.35">
      <c r="A95" s="137" t="s">
        <v>65</v>
      </c>
      <c r="B95" s="137"/>
      <c r="C95" s="137"/>
      <c r="D95" s="139"/>
      <c r="E95" s="137"/>
      <c r="F95" s="137"/>
    </row>
    <row r="96" spans="1:8" ht="30" customHeight="1" x14ac:dyDescent="0.35">
      <c r="A96" s="137" t="s">
        <v>66</v>
      </c>
      <c r="B96" s="137"/>
      <c r="C96" s="137"/>
      <c r="D96" s="137"/>
      <c r="E96" s="137"/>
      <c r="F96" s="137"/>
    </row>
    <row r="97" spans="1:7" ht="30" customHeight="1" x14ac:dyDescent="0.35">
      <c r="A97" s="137" t="s">
        <v>67</v>
      </c>
      <c r="B97" s="137"/>
      <c r="C97" s="137"/>
      <c r="D97" s="137"/>
      <c r="E97" s="140"/>
      <c r="F97" s="140"/>
    </row>
    <row r="98" spans="1:7" ht="30" customHeight="1" x14ac:dyDescent="0.35">
      <c r="A98" s="137"/>
      <c r="B98" s="137"/>
      <c r="C98" s="137"/>
      <c r="D98" s="137"/>
      <c r="E98" s="140"/>
      <c r="F98" s="140"/>
    </row>
    <row r="99" spans="1:7" s="13" customFormat="1" ht="30" customHeight="1" x14ac:dyDescent="0.25">
      <c r="A99" s="30" t="s">
        <v>68</v>
      </c>
      <c r="B99" s="31"/>
      <c r="C99" s="31"/>
      <c r="D99" s="31"/>
      <c r="E99" s="31"/>
      <c r="F99" s="31"/>
      <c r="G99" s="29"/>
    </row>
    <row r="100" spans="1:7" s="13" customFormat="1" ht="30" customHeight="1" x14ac:dyDescent="0.25">
      <c r="A100" s="30"/>
      <c r="B100" s="31"/>
      <c r="C100" s="31"/>
      <c r="D100" s="31"/>
      <c r="E100" s="31"/>
      <c r="F100" s="31"/>
      <c r="G100" s="29"/>
    </row>
    <row r="101" spans="1:7" s="13" customFormat="1" ht="30" customHeight="1" x14ac:dyDescent="0.25">
      <c r="A101" s="30"/>
      <c r="B101" s="31"/>
      <c r="C101" s="31"/>
      <c r="D101" s="31"/>
      <c r="E101" s="31"/>
      <c r="F101" s="31"/>
      <c r="G101" s="29"/>
    </row>
    <row r="102" spans="1:7" s="13" customFormat="1" ht="30" customHeight="1" x14ac:dyDescent="0.25">
      <c r="A102" s="30"/>
      <c r="B102" s="31"/>
      <c r="C102" s="31"/>
      <c r="D102" s="31"/>
      <c r="E102" s="31"/>
      <c r="F102" s="31"/>
      <c r="G102" s="29"/>
    </row>
    <row r="103" spans="1:7" s="13" customFormat="1" ht="30" customHeight="1" x14ac:dyDescent="0.25">
      <c r="A103" s="30"/>
      <c r="B103" s="31"/>
      <c r="C103" s="31"/>
      <c r="D103" s="31"/>
      <c r="E103" s="31"/>
      <c r="F103" s="31"/>
      <c r="G103" s="29"/>
    </row>
    <row r="104" spans="1:7" s="13" customFormat="1" ht="30" customHeight="1" x14ac:dyDescent="0.25">
      <c r="A104" s="30"/>
      <c r="B104" s="31"/>
      <c r="C104" s="31"/>
      <c r="D104" s="31"/>
      <c r="E104" s="31"/>
      <c r="F104" s="31"/>
      <c r="G104" s="29"/>
    </row>
    <row r="105" spans="1:7" s="13" customFormat="1" ht="30" customHeight="1" x14ac:dyDescent="0.25">
      <c r="A105" s="30"/>
      <c r="B105" s="31"/>
      <c r="C105" s="31"/>
      <c r="D105" s="31"/>
      <c r="E105" s="31"/>
      <c r="F105" s="31"/>
      <c r="G105" s="29"/>
    </row>
    <row r="106" spans="1:7" s="13" customFormat="1" ht="30" customHeight="1" x14ac:dyDescent="0.25">
      <c r="A106" s="30"/>
      <c r="B106" s="31"/>
      <c r="C106" s="31"/>
      <c r="D106" s="31"/>
      <c r="E106" s="31"/>
      <c r="F106" s="31"/>
      <c r="G106" s="29"/>
    </row>
    <row r="107" spans="1:7" s="13" customFormat="1" ht="30" customHeight="1" x14ac:dyDescent="0.25">
      <c r="A107" s="30"/>
      <c r="B107" s="31"/>
      <c r="C107" s="31"/>
      <c r="D107" s="31"/>
      <c r="E107" s="31"/>
      <c r="F107" s="31"/>
      <c r="G107" s="29"/>
    </row>
    <row r="108" spans="1:7" s="13" customFormat="1" ht="30" customHeight="1" x14ac:dyDescent="0.25">
      <c r="A108" s="30"/>
      <c r="B108" s="31"/>
      <c r="C108" s="31"/>
      <c r="D108" s="31"/>
      <c r="E108" s="31"/>
      <c r="F108" s="31"/>
      <c r="G108" s="29"/>
    </row>
    <row r="109" spans="1:7" s="13" customFormat="1" ht="30" customHeight="1" x14ac:dyDescent="0.25">
      <c r="A109" s="30"/>
      <c r="B109" s="31"/>
      <c r="C109" s="31"/>
      <c r="D109" s="31"/>
      <c r="E109" s="31"/>
      <c r="F109" s="31"/>
      <c r="G109" s="29"/>
    </row>
    <row r="110" spans="1:7" s="13" customFormat="1" ht="30" customHeight="1" x14ac:dyDescent="0.25">
      <c r="A110" s="30"/>
      <c r="B110" s="31"/>
      <c r="C110" s="31"/>
      <c r="D110" s="31"/>
      <c r="E110" s="31"/>
      <c r="F110" s="31"/>
      <c r="G110" s="29"/>
    </row>
    <row r="111" spans="1:7" s="13" customFormat="1" ht="30" customHeight="1" x14ac:dyDescent="0.25">
      <c r="A111" s="30"/>
      <c r="B111" s="31"/>
      <c r="C111" s="31"/>
      <c r="D111" s="31"/>
      <c r="E111" s="31"/>
      <c r="F111" s="31"/>
      <c r="G111" s="29"/>
    </row>
    <row r="112" spans="1:7" ht="30" customHeight="1" thickBot="1" x14ac:dyDescent="0.4">
      <c r="A112" s="141"/>
      <c r="B112" s="142"/>
      <c r="C112" s="142"/>
      <c r="D112" s="142"/>
      <c r="E112" s="142"/>
      <c r="F112" s="142"/>
    </row>
    <row r="113" spans="1:8" s="103" customFormat="1" ht="38.25" customHeight="1" thickBot="1" x14ac:dyDescent="0.4">
      <c r="A113" s="188" t="s">
        <v>69</v>
      </c>
      <c r="B113" s="189"/>
      <c r="C113" s="189"/>
      <c r="D113" s="189"/>
      <c r="E113" s="189"/>
      <c r="F113" s="190"/>
      <c r="G113" s="98"/>
    </row>
    <row r="114" spans="1:8" s="11" customFormat="1" ht="38.25" customHeight="1" thickBot="1" x14ac:dyDescent="0.3">
      <c r="A114" s="234" t="s">
        <v>70</v>
      </c>
      <c r="B114" s="235"/>
      <c r="C114" s="235"/>
      <c r="D114" s="236"/>
      <c r="E114" s="181">
        <f>E37</f>
        <v>100049490.04000001</v>
      </c>
      <c r="F114" s="182"/>
      <c r="G114" s="29"/>
    </row>
    <row r="115" spans="1:8" s="11" customFormat="1" ht="38.25" customHeight="1" thickBot="1" x14ac:dyDescent="0.3">
      <c r="A115" s="176" t="s">
        <v>71</v>
      </c>
      <c r="B115" s="177"/>
      <c r="C115" s="177"/>
      <c r="D115" s="178"/>
      <c r="E115" s="181">
        <f>C87+D87</f>
        <v>93138592.160000011</v>
      </c>
      <c r="F115" s="182"/>
      <c r="G115" s="29"/>
      <c r="H115" s="28"/>
    </row>
    <row r="116" spans="1:8" s="11" customFormat="1" ht="38.25" customHeight="1" thickBot="1" x14ac:dyDescent="0.3">
      <c r="A116" s="176" t="s">
        <v>81</v>
      </c>
      <c r="B116" s="177"/>
      <c r="C116" s="177"/>
      <c r="D116" s="178"/>
      <c r="E116" s="183">
        <f>E34-(E115-E36)</f>
        <v>6910897.8799999952</v>
      </c>
      <c r="F116" s="184"/>
      <c r="G116" s="29"/>
    </row>
    <row r="117" spans="1:8" s="11" customFormat="1" ht="38.25" customHeight="1" thickBot="1" x14ac:dyDescent="0.3">
      <c r="A117" s="176" t="s">
        <v>73</v>
      </c>
      <c r="B117" s="177"/>
      <c r="C117" s="177"/>
      <c r="D117" s="178"/>
      <c r="E117" s="179">
        <v>0</v>
      </c>
      <c r="F117" s="180"/>
      <c r="G117" s="29"/>
    </row>
    <row r="118" spans="1:8" s="11" customFormat="1" ht="38.25" customHeight="1" thickBot="1" x14ac:dyDescent="0.3">
      <c r="A118" s="176" t="s">
        <v>74</v>
      </c>
      <c r="B118" s="177"/>
      <c r="C118" s="177"/>
      <c r="D118" s="178"/>
      <c r="E118" s="183">
        <f>E116-E117</f>
        <v>6910897.8799999952</v>
      </c>
      <c r="F118" s="184"/>
      <c r="G118" s="94"/>
      <c r="H118" s="28"/>
    </row>
    <row r="119" spans="1:8" ht="30" customHeight="1" x14ac:dyDescent="0.35">
      <c r="A119" s="116"/>
      <c r="B119" s="115"/>
      <c r="C119" s="115"/>
      <c r="D119" s="115"/>
      <c r="E119" s="115"/>
      <c r="F119" s="115"/>
    </row>
    <row r="120" spans="1:8" ht="30" customHeight="1" x14ac:dyDescent="0.35">
      <c r="A120" s="237" t="s">
        <v>75</v>
      </c>
      <c r="B120" s="237"/>
      <c r="C120" s="237"/>
      <c r="D120" s="237"/>
      <c r="E120" s="237"/>
      <c r="F120" s="237"/>
    </row>
    <row r="121" spans="1:8" ht="30" customHeight="1" x14ac:dyDescent="0.35">
      <c r="A121" s="237"/>
      <c r="B121" s="237"/>
      <c r="C121" s="237"/>
      <c r="D121" s="237"/>
      <c r="E121" s="237"/>
      <c r="F121" s="237"/>
    </row>
    <row r="122" spans="1:8" ht="30" customHeight="1" x14ac:dyDescent="0.35">
      <c r="A122" s="143"/>
      <c r="B122" s="143"/>
      <c r="C122" s="143"/>
      <c r="D122" s="143"/>
      <c r="E122" s="143"/>
      <c r="F122" s="143"/>
    </row>
    <row r="123" spans="1:8" ht="30" customHeight="1" x14ac:dyDescent="0.35">
      <c r="A123" s="143"/>
      <c r="B123" s="143"/>
      <c r="C123" s="143"/>
      <c r="D123" s="143"/>
      <c r="E123" s="143"/>
      <c r="F123" s="143"/>
    </row>
    <row r="124" spans="1:8" ht="30" customHeight="1" x14ac:dyDescent="0.35">
      <c r="A124" s="143"/>
      <c r="B124" s="143"/>
      <c r="C124" s="143"/>
      <c r="D124" s="143"/>
      <c r="E124" s="143"/>
      <c r="F124" s="143"/>
    </row>
    <row r="125" spans="1:8" ht="30" customHeight="1" x14ac:dyDescent="0.35">
      <c r="A125" s="143"/>
      <c r="B125" s="143"/>
      <c r="C125" s="143"/>
      <c r="D125" s="143"/>
      <c r="E125" s="143"/>
      <c r="F125" s="143"/>
    </row>
    <row r="126" spans="1:8" ht="30" customHeight="1" x14ac:dyDescent="0.4">
      <c r="A126" s="144"/>
      <c r="B126" s="145"/>
      <c r="C126" s="145"/>
      <c r="D126" s="145"/>
      <c r="E126" s="146"/>
      <c r="F126" s="147"/>
    </row>
    <row r="127" spans="1:8" ht="30" customHeight="1" x14ac:dyDescent="0.4">
      <c r="A127" s="69" t="s">
        <v>95</v>
      </c>
      <c r="B127" s="145"/>
      <c r="C127" s="145"/>
      <c r="D127" s="145"/>
      <c r="E127" s="146"/>
      <c r="F127" s="147"/>
    </row>
    <row r="128" spans="1:8" ht="30" customHeight="1" x14ac:dyDescent="0.4">
      <c r="A128" s="148"/>
      <c r="B128" s="145"/>
      <c r="C128" s="145"/>
      <c r="D128" s="145"/>
      <c r="E128" s="146"/>
      <c r="F128" s="147"/>
    </row>
    <row r="129" spans="1:9" ht="30" customHeight="1" x14ac:dyDescent="0.4">
      <c r="A129" s="148"/>
      <c r="B129" s="145"/>
      <c r="C129" s="145"/>
      <c r="D129" s="145"/>
      <c r="E129" s="146"/>
      <c r="F129" s="147"/>
    </row>
    <row r="130" spans="1:9" ht="30" customHeight="1" x14ac:dyDescent="0.4">
      <c r="A130" s="148"/>
      <c r="B130" s="145"/>
      <c r="C130" s="145"/>
      <c r="D130" s="145"/>
      <c r="E130" s="146"/>
      <c r="F130" s="147"/>
    </row>
    <row r="131" spans="1:9" ht="30" customHeight="1" x14ac:dyDescent="0.4">
      <c r="A131" s="148"/>
      <c r="B131" s="145"/>
      <c r="C131" s="145"/>
      <c r="D131" s="145"/>
      <c r="E131" s="146"/>
      <c r="F131" s="147"/>
    </row>
    <row r="132" spans="1:9" ht="30" customHeight="1" x14ac:dyDescent="0.45">
      <c r="A132" s="76"/>
      <c r="B132" s="75" t="s">
        <v>232</v>
      </c>
      <c r="C132" s="5"/>
      <c r="D132" s="75" t="s">
        <v>237</v>
      </c>
      <c r="E132" s="76"/>
      <c r="F132" s="76"/>
      <c r="H132" s="99"/>
      <c r="I132" s="99"/>
    </row>
    <row r="133" spans="1:9" ht="30" customHeight="1" x14ac:dyDescent="0.45">
      <c r="A133" s="76"/>
      <c r="B133" s="74" t="s">
        <v>233</v>
      </c>
      <c r="C133" s="5"/>
      <c r="D133" s="76"/>
      <c r="E133" s="150" t="s">
        <v>239</v>
      </c>
      <c r="F133" s="76"/>
      <c r="H133" s="99"/>
      <c r="I133" s="99"/>
    </row>
    <row r="134" spans="1:9" s="77" customFormat="1" ht="30" customHeight="1" x14ac:dyDescent="0.4">
      <c r="B134" s="78"/>
      <c r="C134" s="78"/>
      <c r="D134" s="78"/>
      <c r="E134" s="78"/>
      <c r="F134" s="6"/>
      <c r="G134" s="100"/>
      <c r="H134" s="100"/>
      <c r="I134" s="100"/>
    </row>
    <row r="135" spans="1:9" s="77" customFormat="1" ht="30" x14ac:dyDescent="0.4">
      <c r="B135" s="78"/>
      <c r="C135" s="78"/>
      <c r="D135" s="78"/>
      <c r="E135" s="78"/>
      <c r="F135" s="6"/>
      <c r="G135" s="100"/>
      <c r="H135" s="100"/>
      <c r="I135" s="100"/>
    </row>
    <row r="136" spans="1:9" s="77" customFormat="1" ht="30" x14ac:dyDescent="0.4">
      <c r="B136" s="78"/>
      <c r="C136" s="78"/>
      <c r="D136" s="78"/>
      <c r="E136" s="78"/>
      <c r="F136" s="6"/>
      <c r="G136" s="100"/>
      <c r="H136" s="100"/>
      <c r="I136" s="100"/>
    </row>
    <row r="137" spans="1:9" s="77" customFormat="1" ht="30" x14ac:dyDescent="0.4">
      <c r="B137" s="78"/>
      <c r="C137" s="78"/>
      <c r="D137" s="78"/>
      <c r="E137" s="78"/>
      <c r="F137" s="6"/>
      <c r="G137" s="100"/>
      <c r="H137" s="100"/>
      <c r="I137" s="100"/>
    </row>
    <row r="138" spans="1:9" s="77" customFormat="1" ht="30" x14ac:dyDescent="0.4">
      <c r="B138" s="78"/>
      <c r="C138" s="78"/>
      <c r="D138" s="78"/>
      <c r="E138" s="78"/>
      <c r="F138" s="6"/>
      <c r="G138" s="100"/>
      <c r="H138" s="100"/>
      <c r="I138" s="100"/>
    </row>
    <row r="139" spans="1:9" s="77" customFormat="1" ht="30" x14ac:dyDescent="0.4">
      <c r="B139" s="78"/>
      <c r="C139" s="80" t="s">
        <v>76</v>
      </c>
      <c r="E139" s="78"/>
      <c r="F139" s="6"/>
      <c r="G139" s="100"/>
      <c r="H139" s="100"/>
      <c r="I139" s="100"/>
    </row>
    <row r="140" spans="1:9" s="77" customFormat="1" ht="30" x14ac:dyDescent="0.4">
      <c r="C140" s="201" t="s">
        <v>77</v>
      </c>
      <c r="D140" s="201"/>
      <c r="F140" s="6"/>
      <c r="G140" s="100"/>
      <c r="H140" s="100"/>
      <c r="I140" s="100"/>
    </row>
    <row r="141" spans="1:9" s="77" customFormat="1" ht="30" x14ac:dyDescent="0.4">
      <c r="B141" s="79"/>
      <c r="C141" s="80"/>
      <c r="F141" s="6"/>
      <c r="G141" s="100"/>
      <c r="H141" s="100"/>
      <c r="I141" s="100"/>
    </row>
    <row r="142" spans="1:9" s="77" customFormat="1" ht="30" x14ac:dyDescent="0.4">
      <c r="B142" s="79"/>
      <c r="C142" s="201"/>
      <c r="D142" s="201"/>
      <c r="E142" s="78"/>
      <c r="F142" s="6"/>
      <c r="G142" s="100"/>
      <c r="H142" s="100"/>
      <c r="I142" s="100"/>
    </row>
    <row r="152" spans="1:6" ht="30" x14ac:dyDescent="0.4">
      <c r="A152" s="74"/>
      <c r="B152" s="76"/>
      <c r="C152" s="76"/>
      <c r="D152" s="76"/>
      <c r="E152" s="76"/>
      <c r="F152" s="76"/>
    </row>
    <row r="153" spans="1:6" ht="30" x14ac:dyDescent="0.4">
      <c r="A153" s="74"/>
      <c r="B153" s="76"/>
      <c r="C153" s="76"/>
      <c r="D153" s="76"/>
      <c r="E153" s="76"/>
      <c r="F153" s="76"/>
    </row>
    <row r="156" spans="1:6" ht="48.75" customHeight="1" x14ac:dyDescent="0.35">
      <c r="B156" s="76"/>
      <c r="C156" s="76"/>
      <c r="D156" s="76"/>
      <c r="E156" s="76"/>
      <c r="F156" s="76"/>
    </row>
    <row r="157" spans="1:6" ht="48.75" customHeight="1" x14ac:dyDescent="0.35">
      <c r="B157" s="76"/>
      <c r="C157" s="76"/>
      <c r="D157" s="76"/>
      <c r="E157" s="76"/>
      <c r="F157" s="76"/>
    </row>
    <row r="163" spans="2:6" x14ac:dyDescent="0.35">
      <c r="B163" s="76"/>
      <c r="C163" s="76"/>
      <c r="D163" s="76"/>
      <c r="E163" s="76"/>
      <c r="F163" s="76"/>
    </row>
    <row r="164" spans="2:6" x14ac:dyDescent="0.35">
      <c r="B164" s="76"/>
      <c r="C164" s="76"/>
      <c r="D164" s="76"/>
      <c r="E164" s="76"/>
      <c r="F164" s="76"/>
    </row>
    <row r="166" spans="2:6" ht="30" x14ac:dyDescent="0.4">
      <c r="B166" s="74"/>
      <c r="C166" s="74"/>
      <c r="D166" s="74"/>
      <c r="E166" s="74"/>
      <c r="F166" s="74"/>
    </row>
    <row r="167" spans="2:6" ht="30" x14ac:dyDescent="0.4">
      <c r="B167" s="74"/>
      <c r="C167" s="150"/>
      <c r="D167" s="151"/>
      <c r="E167" s="150"/>
      <c r="F167" s="150"/>
    </row>
    <row r="170" spans="2:6" ht="30" x14ac:dyDescent="0.4">
      <c r="B170" s="233"/>
      <c r="C170" s="233"/>
      <c r="D170" s="74"/>
      <c r="E170" s="74"/>
      <c r="F170" s="74"/>
    </row>
    <row r="171" spans="2:6" ht="30" x14ac:dyDescent="0.4">
      <c r="B171" s="233"/>
      <c r="C171" s="233"/>
      <c r="D171" s="233"/>
      <c r="E171" s="233"/>
      <c r="F171" s="151"/>
    </row>
    <row r="177" spans="2:6" ht="30" x14ac:dyDescent="0.4">
      <c r="B177" s="233"/>
      <c r="C177" s="233"/>
      <c r="D177" s="74"/>
      <c r="E177" s="74"/>
      <c r="F177" s="74"/>
    </row>
    <row r="178" spans="2:6" ht="30" x14ac:dyDescent="0.4">
      <c r="B178" s="233"/>
      <c r="C178" s="233"/>
      <c r="D178" s="150"/>
      <c r="E178" s="151"/>
      <c r="F178" s="151"/>
    </row>
  </sheetData>
  <sheetProtection algorithmName="SHA-512" hashValue="JJSVQifOTxjlB5VEmMcQl/yzX6Nlw/zcgIj7CSVGXtQTJtxeWA3ZQAIpne+HESOeGElgi7u0Q+p0yN96cIAUlg==" saltValue="Fo/WzaO3cp3DQWOkM91ySw==" spinCount="100000" sheet="1" objects="1" scenarios="1" selectLockedCells="1" selectUnlockedCells="1"/>
  <mergeCells count="50">
    <mergeCell ref="A24:B24"/>
    <mergeCell ref="E24:F24"/>
    <mergeCell ref="A9:F9"/>
    <mergeCell ref="A10:F10"/>
    <mergeCell ref="A18:F20"/>
    <mergeCell ref="A33:D33"/>
    <mergeCell ref="E33:F33"/>
    <mergeCell ref="A25:B25"/>
    <mergeCell ref="E25:F25"/>
    <mergeCell ref="E26:F26"/>
    <mergeCell ref="A27:F27"/>
    <mergeCell ref="E28:F28"/>
    <mergeCell ref="E29:F29"/>
    <mergeCell ref="A30:D30"/>
    <mergeCell ref="E30:F30"/>
    <mergeCell ref="A31:D31"/>
    <mergeCell ref="E31:F31"/>
    <mergeCell ref="E32:F32"/>
    <mergeCell ref="A32:D32"/>
    <mergeCell ref="A113:F113"/>
    <mergeCell ref="A34:D34"/>
    <mergeCell ref="E34:F34"/>
    <mergeCell ref="A35:D35"/>
    <mergeCell ref="E35:F35"/>
    <mergeCell ref="A36:D36"/>
    <mergeCell ref="E36:F36"/>
    <mergeCell ref="A37:D37"/>
    <mergeCell ref="E37:F37"/>
    <mergeCell ref="A56:F57"/>
    <mergeCell ref="A62:F62"/>
    <mergeCell ref="A63:F63"/>
    <mergeCell ref="A40:C40"/>
    <mergeCell ref="C142:D142"/>
    <mergeCell ref="A114:D114"/>
    <mergeCell ref="E114:F114"/>
    <mergeCell ref="A115:D115"/>
    <mergeCell ref="E115:F115"/>
    <mergeCell ref="A116:D116"/>
    <mergeCell ref="E116:F116"/>
    <mergeCell ref="A117:D117"/>
    <mergeCell ref="E117:F117"/>
    <mergeCell ref="A118:D118"/>
    <mergeCell ref="E118:F118"/>
    <mergeCell ref="A120:F121"/>
    <mergeCell ref="C140:D140"/>
    <mergeCell ref="B170:C170"/>
    <mergeCell ref="B171:C171"/>
    <mergeCell ref="D171:E171"/>
    <mergeCell ref="B177:C177"/>
    <mergeCell ref="B178:C178"/>
  </mergeCells>
  <printOptions horizontalCentered="1"/>
  <pageMargins left="0.39370078740157483" right="0.39370078740157483" top="0.39370078740157483" bottom="0.39370078740157483" header="0.11811023622047245" footer="0.51181102362204722"/>
  <pageSetup paperSize="9" scale="36" fitToHeight="0" orientation="portrait" r:id="rId1"/>
  <rowBreaks count="2" manualBreakCount="2">
    <brk id="46" max="5" man="1"/>
    <brk id="104"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4</vt:i4>
      </vt:variant>
    </vt:vector>
  </HeadingPairs>
  <TitlesOfParts>
    <vt:vector size="8" baseType="lpstr">
      <vt:lpstr>Anexo 17 - Rec. FEDERAL</vt:lpstr>
      <vt:lpstr>Anexo 17 - Rec. Piso Enfermagem</vt:lpstr>
      <vt:lpstr>Anexo 17 - Rec. Estadual</vt:lpstr>
      <vt:lpstr>Anexo 17 - Rec. Próprio</vt:lpstr>
      <vt:lpstr>'Anexo 17 - Rec. Estadual'!Area_de_impressao</vt:lpstr>
      <vt:lpstr>'Anexo 17 - Rec. FEDERAL'!Area_de_impressao</vt:lpstr>
      <vt:lpstr>'Anexo 17 - Rec. Piso Enfermagem'!Area_de_impressao</vt:lpstr>
      <vt:lpstr>'Anexo 17 - Rec. Próprio'!Area_de_impressao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CONTABILIDADE</dc:creator>
  <cp:lastModifiedBy>CONTABILIDADE</cp:lastModifiedBy>
  <cp:lastPrinted>2024-04-04T20:56:50Z</cp:lastPrinted>
  <dcterms:created xsi:type="dcterms:W3CDTF">2022-07-15T14:23:28Z</dcterms:created>
  <dcterms:modified xsi:type="dcterms:W3CDTF">2025-03-04T14:58:28Z</dcterms:modified>
</cp:coreProperties>
</file>